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09"/>
  <workbookPr codeName="DieseArbeitsmappe"/>
  <mc:AlternateContent xmlns:mc="http://schemas.openxmlformats.org/markup-compatibility/2006">
    <mc:Choice Requires="x15">
      <x15ac:absPath xmlns:x15ac="http://schemas.microsoft.com/office/spreadsheetml/2010/11/ac" url="D:\Entwicklung\extern\Pollex\2022-02_Projekt Ulbrich\files\Entwicklungsdateien\"/>
    </mc:Choice>
  </mc:AlternateContent>
  <xr:revisionPtr revIDLastSave="0" documentId="13_ncr:1_{DE338D0B-AAB0-47A5-91FC-6FDAB4B4E135}" xr6:coauthVersionLast="47" xr6:coauthVersionMax="47" xr10:uidLastSave="{00000000-0000-0000-0000-000000000000}"/>
  <bookViews>
    <workbookView xWindow="-120" yWindow="-120" windowWidth="29040" windowHeight="15840" tabRatio="700" activeTab="5" xr2:uid="{00000000-000D-0000-FFFF-FFFF00000000}"/>
  </bookViews>
  <sheets>
    <sheet name="Arbeitsplan_rd" sheetId="13" r:id="rId1"/>
    <sheet name="Metall_rd" sheetId="12" r:id="rId2"/>
    <sheet name="ACALC_rd" sheetId="11" r:id="rId3"/>
    <sheet name="ACALC" sheetId="2" r:id="rId4"/>
    <sheet name="SQLResults" sheetId="16" r:id="rId5"/>
    <sheet name="Mapping" sheetId="14" r:id="rId6"/>
    <sheet name="SQLMapping" sheetId="15" r:id="rId7"/>
    <sheet name="Metallhistorie" sheetId="10" r:id="rId8"/>
    <sheet name="Metall" sheetId="5" r:id="rId9"/>
    <sheet name="Arbeitsplan" sheetId="1" r:id="rId10"/>
    <sheet name="Daten_v_Kosten_Preise" sheetId="6" r:id="rId11"/>
    <sheet name="Geometrie" sheetId="4" r:id="rId12"/>
    <sheet name="Verpackung" sheetId="8" r:id="rId13"/>
    <sheet name="Legierungen" sheetId="9" r:id="rId14"/>
  </sheets>
  <externalReferences>
    <externalReference r:id="rId15"/>
  </externalReferences>
  <definedNames>
    <definedName name="_alu2">Mapping!#REF!</definedName>
    <definedName name="_ato2">Mapping!#REF!</definedName>
    <definedName name="_xlnm._FilterDatabase" localSheetId="9" hidden="1">Arbeitsplan!#REF!</definedName>
    <definedName name="_pe2">Mapping!#REF!</definedName>
    <definedName name="_sg2">Mapping!#REF!</definedName>
    <definedName name="_vci2">Mapping!#REF!</definedName>
    <definedName name="alu">[1]Tabelle1!$M$24</definedName>
    <definedName name="Arbeitsplanschritte">SQLResults!$D$3:$H$29</definedName>
    <definedName name="ato">[1]Tabelle1!$J$24</definedName>
    <definedName name="_xlnm.Print_Area" localSheetId="3">ACALC!$A$1:$L$61</definedName>
    <definedName name="FAKTOR">Mapping!#REF!</definedName>
    <definedName name="firma">[1]Tabelle1!$A$1</definedName>
    <definedName name="L_LAND">Mapping!#REF!</definedName>
    <definedName name="L_N1">Mapping!#REF!</definedName>
    <definedName name="L_ORT">Mapping!#REF!</definedName>
    <definedName name="L_PLZ">Mapping!#REF!</definedName>
    <definedName name="L_STR">Mapping!#REF!</definedName>
    <definedName name="LAND">Mapping!#REF!</definedName>
    <definedName name="ORT">Mapping!#REF!</definedName>
    <definedName name="pe">[1]Tabelle1!$K$24</definedName>
    <definedName name="PLZ">Mapping!#REF!</definedName>
    <definedName name="quadratmeter">[1]Tabelle1!$V$2</definedName>
    <definedName name="sg">[1]Tabelle1!$I$24</definedName>
    <definedName name="stk">[1]Tabelle1!$A$7</definedName>
    <definedName name="STRASSE">Mapping!#REF!</definedName>
    <definedName name="Test">SQLResults!$J$2:$L$2</definedName>
    <definedName name="Test2">SQLResults!$J$5:$L$5</definedName>
    <definedName name="Test3">SQLResults!$J$8:$L$8</definedName>
    <definedName name="vci">[1]Tabelle1!$L$24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7" i="1" l="1"/>
  <c r="C17" i="1"/>
  <c r="C5" i="1"/>
  <c r="C9" i="8"/>
  <c r="C14" i="8"/>
  <c r="C13" i="8"/>
  <c r="C12" i="8"/>
  <c r="C11" i="8"/>
  <c r="C8" i="8"/>
  <c r="C7" i="8"/>
  <c r="C6" i="8"/>
  <c r="C36" i="8" l="1"/>
  <c r="C35" i="8"/>
  <c r="C32" i="8"/>
  <c r="C28" i="8"/>
  <c r="C27" i="8"/>
  <c r="C25" i="8"/>
  <c r="C26" i="8"/>
  <c r="C24" i="8"/>
  <c r="J7" i="10" l="1"/>
  <c r="J10" i="10" l="1"/>
  <c r="J9" i="10"/>
  <c r="C17" i="11" l="1"/>
  <c r="X38" i="10" l="1"/>
  <c r="X6" i="10" l="1"/>
  <c r="X7" i="10"/>
  <c r="X8" i="10"/>
  <c r="X9" i="10"/>
  <c r="X10" i="10"/>
  <c r="X11" i="10"/>
  <c r="X12" i="10"/>
  <c r="X13" i="10"/>
  <c r="X14" i="10"/>
  <c r="X15" i="10"/>
  <c r="X16" i="10"/>
  <c r="X17" i="10"/>
  <c r="X18" i="10"/>
  <c r="X19" i="10"/>
  <c r="X20" i="10"/>
  <c r="X21" i="10"/>
  <c r="X22" i="10"/>
  <c r="X23" i="10"/>
  <c r="X24" i="10"/>
  <c r="X25" i="10"/>
  <c r="X26" i="10"/>
  <c r="X27" i="10"/>
  <c r="X28" i="10"/>
  <c r="X29" i="10"/>
  <c r="X30" i="10"/>
  <c r="X31" i="10"/>
  <c r="X32" i="10"/>
  <c r="X33" i="10"/>
  <c r="H31" i="11" l="1"/>
  <c r="W54" i="10" l="1"/>
  <c r="V54" i="10"/>
  <c r="U54" i="10"/>
  <c r="H64" i="13"/>
  <c r="H63" i="13"/>
  <c r="H69" i="13" l="1"/>
  <c r="H70" i="13"/>
  <c r="B6" i="12" l="1"/>
  <c r="B15" i="12" s="1"/>
  <c r="B8" i="12"/>
  <c r="D54" i="13"/>
  <c r="H54" i="13" s="1"/>
  <c r="D51" i="13"/>
  <c r="H51" i="13" s="1"/>
  <c r="H39" i="13"/>
  <c r="F67" i="6"/>
  <c r="F65" i="6"/>
  <c r="F61" i="6"/>
  <c r="B12" i="12" l="1"/>
  <c r="B13" i="12"/>
  <c r="B10" i="12"/>
  <c r="B14" i="12"/>
  <c r="B11" i="12"/>
  <c r="D24" i="13"/>
  <c r="H24" i="13" s="1"/>
  <c r="D112" i="13"/>
  <c r="A112" i="13"/>
  <c r="B15" i="13"/>
  <c r="B6" i="13"/>
  <c r="N31" i="8"/>
  <c r="S34" i="8"/>
  <c r="T37" i="8" s="1"/>
  <c r="R34" i="8"/>
  <c r="T36" i="8" s="1"/>
  <c r="Q34" i="8"/>
  <c r="M34" i="8"/>
  <c r="C102" i="13"/>
  <c r="E99" i="13" s="1"/>
  <c r="E88" i="13"/>
  <c r="N88" i="13" s="1"/>
  <c r="P88" i="13" s="1"/>
  <c r="F8" i="13" s="1"/>
  <c r="B85" i="13"/>
  <c r="E26" i="6"/>
  <c r="E25" i="6"/>
  <c r="F85" i="13"/>
  <c r="G7" i="11"/>
  <c r="J4" i="11"/>
  <c r="E97" i="13" l="1"/>
  <c r="C97" i="13"/>
  <c r="C85" i="13"/>
  <c r="O88" i="13" s="1"/>
  <c r="E8" i="13" s="1"/>
  <c r="H8" i="13" s="1"/>
  <c r="E85" i="13"/>
  <c r="N34" i="8"/>
  <c r="B112" i="13" s="1"/>
  <c r="U34" i="8"/>
  <c r="V34" i="8" s="1"/>
  <c r="D16" i="12"/>
  <c r="G85" i="13"/>
  <c r="F97" i="13" s="1"/>
  <c r="B9" i="12"/>
  <c r="E15" i="12" s="1"/>
  <c r="B16" i="12"/>
  <c r="T38" i="8"/>
  <c r="G108" i="13" s="1"/>
  <c r="C23" i="13" s="1"/>
  <c r="C27" i="13" s="1"/>
  <c r="N99" i="13"/>
  <c r="B108" i="13"/>
  <c r="C8" i="13"/>
  <c r="O34" i="8"/>
  <c r="P34" i="8" s="1"/>
  <c r="F8" i="12"/>
  <c r="H85" i="13"/>
  <c r="H97" i="13" s="1"/>
  <c r="P107" i="13" l="1"/>
  <c r="F23" i="13" s="1"/>
  <c r="F27" i="13" s="1"/>
  <c r="E13" i="12"/>
  <c r="E11" i="12"/>
  <c r="E10" i="12"/>
  <c r="F16" i="12"/>
  <c r="F9" i="12" s="1"/>
  <c r="P99" i="13"/>
  <c r="P102" i="13" s="1"/>
  <c r="N102" i="13"/>
  <c r="N119" i="13" s="1"/>
  <c r="C17" i="13"/>
  <c r="O99" i="13"/>
  <c r="O102" i="13" s="1"/>
  <c r="AA34" i="8"/>
  <c r="K112" i="13" s="1"/>
  <c r="D25" i="13" s="1"/>
  <c r="H25" i="13" s="1"/>
  <c r="C112" i="13"/>
  <c r="E14" i="12"/>
  <c r="E12" i="12"/>
  <c r="E8" i="12"/>
  <c r="I85" i="13"/>
  <c r="K85" i="13" l="1"/>
  <c r="G10" i="12"/>
  <c r="E16" i="12"/>
  <c r="O119" i="13"/>
  <c r="E17" i="13"/>
  <c r="P119" i="13"/>
  <c r="F17" i="13"/>
  <c r="I97" i="13"/>
  <c r="J97" i="13" s="1"/>
  <c r="J85" i="13"/>
  <c r="K97" i="13" l="1"/>
  <c r="L97" i="13" s="1"/>
  <c r="M97" i="13" s="1"/>
  <c r="N97" i="13" s="1"/>
  <c r="C15" i="13" s="1"/>
  <c r="C19" i="13" s="1"/>
  <c r="E10" i="11"/>
  <c r="L85" i="13"/>
  <c r="Q119" i="13"/>
  <c r="H17" i="13"/>
  <c r="M85" i="13" l="1"/>
  <c r="N85" i="13" s="1"/>
  <c r="C6" i="13" s="1"/>
  <c r="C10" i="13" s="1"/>
  <c r="C35" i="13" s="1"/>
  <c r="D56" i="13" s="1"/>
  <c r="H56" i="13" s="1"/>
  <c r="C9" i="11"/>
  <c r="O97" i="13"/>
  <c r="E15" i="13" s="1"/>
  <c r="E19" i="13" s="1"/>
  <c r="G7" i="2"/>
  <c r="W74" i="10"/>
  <c r="W75" i="10"/>
  <c r="W76" i="10"/>
  <c r="W77" i="10"/>
  <c r="W78" i="10"/>
  <c r="W79" i="10"/>
  <c r="W73" i="10"/>
  <c r="V77" i="10"/>
  <c r="V78" i="10"/>
  <c r="U77" i="10"/>
  <c r="U78" i="10"/>
  <c r="S38" i="10"/>
  <c r="K19" i="2" l="1"/>
  <c r="K18" i="2"/>
  <c r="K19" i="11"/>
  <c r="N118" i="13"/>
  <c r="N120" i="13" s="1"/>
  <c r="O85" i="13"/>
  <c r="E6" i="13" s="1"/>
  <c r="E10" i="13" s="1"/>
  <c r="E35" i="13" s="1"/>
  <c r="D53" i="13"/>
  <c r="H53" i="13" s="1"/>
  <c r="K18" i="11"/>
  <c r="G22" i="12" s="1"/>
  <c r="H46" i="13"/>
  <c r="D50" i="13"/>
  <c r="H50" i="13" s="1"/>
  <c r="S40" i="10"/>
  <c r="S39" i="10"/>
  <c r="T62" i="10"/>
  <c r="T63" i="10" s="1"/>
  <c r="T64" i="10" s="1"/>
  <c r="Q38" i="10"/>
  <c r="R7" i="10"/>
  <c r="R8" i="10"/>
  <c r="R9" i="10"/>
  <c r="R10" i="10"/>
  <c r="R11" i="10"/>
  <c r="R12" i="10"/>
  <c r="R13" i="10"/>
  <c r="R14" i="10"/>
  <c r="R15" i="10"/>
  <c r="R16" i="10"/>
  <c r="R17" i="10"/>
  <c r="R18" i="10"/>
  <c r="R19" i="10"/>
  <c r="R20" i="10"/>
  <c r="R21" i="10"/>
  <c r="R22" i="10"/>
  <c r="R23" i="10"/>
  <c r="R24" i="10"/>
  <c r="R25" i="10"/>
  <c r="R26" i="10"/>
  <c r="R27" i="10"/>
  <c r="R28" i="10"/>
  <c r="R29" i="10"/>
  <c r="R30" i="10"/>
  <c r="R31" i="10"/>
  <c r="R32" i="10"/>
  <c r="R33" i="10"/>
  <c r="R6" i="10"/>
  <c r="Q6" i="10"/>
  <c r="Q7" i="10"/>
  <c r="Q8" i="10"/>
  <c r="Q9" i="10"/>
  <c r="Q10" i="10"/>
  <c r="Q11" i="10"/>
  <c r="Q12" i="10"/>
  <c r="Q13" i="10"/>
  <c r="Q14" i="10"/>
  <c r="Q15" i="10"/>
  <c r="Q16" i="10"/>
  <c r="Q17" i="10"/>
  <c r="S6" i="10"/>
  <c r="S7" i="10"/>
  <c r="S8" i="10"/>
  <c r="S9" i="10"/>
  <c r="S10" i="10"/>
  <c r="S11" i="10"/>
  <c r="S12" i="10"/>
  <c r="S13" i="10"/>
  <c r="S14" i="10"/>
  <c r="S15" i="10"/>
  <c r="S16" i="10"/>
  <c r="S17" i="10"/>
  <c r="S19" i="10"/>
  <c r="S20" i="10"/>
  <c r="S21" i="10"/>
  <c r="S22" i="10"/>
  <c r="S23" i="10"/>
  <c r="S24" i="10"/>
  <c r="S25" i="10"/>
  <c r="S26" i="10"/>
  <c r="S27" i="10"/>
  <c r="S28" i="10"/>
  <c r="S29" i="10"/>
  <c r="S30" i="10"/>
  <c r="S31" i="10"/>
  <c r="S32" i="10"/>
  <c r="S33" i="10"/>
  <c r="S18" i="10"/>
  <c r="Q19" i="10"/>
  <c r="Q20" i="10"/>
  <c r="Q21" i="10"/>
  <c r="Q22" i="10"/>
  <c r="Q23" i="10"/>
  <c r="Q24" i="10"/>
  <c r="Q25" i="10"/>
  <c r="Q26" i="10"/>
  <c r="Q27" i="10"/>
  <c r="Q28" i="10"/>
  <c r="Q29" i="10"/>
  <c r="Q30" i="10"/>
  <c r="Q31" i="10"/>
  <c r="Q32" i="10"/>
  <c r="Q33" i="10"/>
  <c r="Q18" i="10"/>
  <c r="T54" i="10"/>
  <c r="O118" i="13" l="1"/>
  <c r="O120" i="13" s="1"/>
  <c r="H58" i="13"/>
  <c r="Q40" i="10"/>
  <c r="R40" i="10" s="1"/>
  <c r="R39" i="10" s="1"/>
  <c r="R38" i="10" s="1"/>
  <c r="T38" i="10" s="1"/>
  <c r="Q39" i="10"/>
  <c r="F22" i="12"/>
  <c r="F30" i="12" s="1"/>
  <c r="F31" i="12"/>
  <c r="Y54" i="10"/>
  <c r="T70" i="10" s="1" a="1"/>
  <c r="T70" i="10" s="1"/>
  <c r="X54" i="10"/>
  <c r="U62" i="10"/>
  <c r="V62" i="10" s="1"/>
  <c r="U64" i="10"/>
  <c r="V64" i="10" s="1"/>
  <c r="U63" i="10"/>
  <c r="V63" i="10" s="1"/>
  <c r="U57" i="10"/>
  <c r="T57" i="10"/>
  <c r="T39" i="10" l="1"/>
  <c r="T40" i="10"/>
  <c r="Y67" i="10" a="1"/>
  <c r="Y67" i="10" s="1"/>
  <c r="F11" i="10" s="1"/>
  <c r="V79" i="10" s="1"/>
  <c r="X67" i="10" a="1"/>
  <c r="X67" i="10" s="1"/>
  <c r="V67" i="10" a="1"/>
  <c r="V67" i="10" s="1"/>
  <c r="F6" i="10" s="1"/>
  <c r="V74" i="10" s="1"/>
  <c r="W67" i="10" a="1"/>
  <c r="W67" i="10" s="1"/>
  <c r="F7" i="10" s="1"/>
  <c r="V75" i="10" s="1"/>
  <c r="T67" i="10" a="1"/>
  <c r="T67" i="10" s="1"/>
  <c r="F8" i="10" s="1"/>
  <c r="V76" i="10" s="1"/>
  <c r="U67" i="10" a="1"/>
  <c r="U67" i="10" s="1"/>
  <c r="F5" i="10" s="1"/>
  <c r="V73" i="10" s="1"/>
  <c r="X59" i="10" a="1"/>
  <c r="X59" i="10" s="1"/>
  <c r="Y59" i="10" a="1"/>
  <c r="Y59" i="10" s="1"/>
  <c r="C11" i="10" s="1"/>
  <c r="U79" i="10" s="1"/>
  <c r="V59" i="10" a="1"/>
  <c r="V59" i="10" s="1"/>
  <c r="C6" i="10" s="1"/>
  <c r="U74" i="10" s="1"/>
  <c r="W59" i="10" a="1"/>
  <c r="W59" i="10" s="1"/>
  <c r="C7" i="10" s="1"/>
  <c r="U75" i="10" s="1"/>
  <c r="U59" i="10" a="1"/>
  <c r="U59" i="10" s="1"/>
  <c r="C5" i="10" s="1"/>
  <c r="U73" i="10" s="1"/>
  <c r="T59" i="10" a="1"/>
  <c r="T59" i="10" s="1"/>
  <c r="C8" i="10" s="1"/>
  <c r="U76" i="10" s="1"/>
  <c r="Y39" i="10" l="1"/>
  <c r="Z39" i="10"/>
  <c r="W39" i="10"/>
  <c r="X74" i="10" s="1"/>
  <c r="N6" i="10" s="1"/>
  <c r="X39" i="10"/>
  <c r="U39" i="10"/>
  <c r="V39" i="10"/>
  <c r="Z40" i="10"/>
  <c r="X40" i="10"/>
  <c r="Y40" i="10"/>
  <c r="U40" i="10"/>
  <c r="W40" i="10"/>
  <c r="V40" i="10"/>
  <c r="K15" i="11" l="1"/>
  <c r="D22" i="12" s="1"/>
  <c r="F27" i="12" s="1"/>
  <c r="X79" i="10"/>
  <c r="X75" i="10"/>
  <c r="X76" i="10"/>
  <c r="X73" i="10"/>
  <c r="N5" i="10" s="1"/>
  <c r="G22" i="5"/>
  <c r="F22" i="5"/>
  <c r="J4" i="2"/>
  <c r="N8" i="10" l="1"/>
  <c r="K17" i="11"/>
  <c r="B22" i="12" s="1"/>
  <c r="N7" i="10"/>
  <c r="K16" i="11"/>
  <c r="E22" i="12" s="1"/>
  <c r="F29" i="12" s="1"/>
  <c r="N11" i="10"/>
  <c r="K20" i="11"/>
  <c r="D24" i="12" s="1"/>
  <c r="K14" i="11"/>
  <c r="C22" i="12" s="1"/>
  <c r="K20" i="2"/>
  <c r="D25" i="5" s="1"/>
  <c r="K17" i="2"/>
  <c r="B22" i="5" s="1"/>
  <c r="K16" i="2"/>
  <c r="E22" i="5" s="1"/>
  <c r="K15" i="2"/>
  <c r="D22" i="5" s="1"/>
  <c r="K14" i="2"/>
  <c r="C22" i="5" s="1"/>
  <c r="D48" i="8"/>
  <c r="C52" i="8"/>
  <c r="C51" i="8"/>
  <c r="G29" i="12" l="1"/>
  <c r="F28" i="12"/>
  <c r="G28" i="12" s="1"/>
  <c r="B40" i="12"/>
  <c r="D40" i="12" s="1"/>
  <c r="B30" i="12"/>
  <c r="G31" i="12"/>
  <c r="G27" i="12"/>
  <c r="G30" i="12"/>
  <c r="B29" i="12"/>
  <c r="D29" i="12" s="1"/>
  <c r="F32" i="12"/>
  <c r="B39" i="12"/>
  <c r="C53" i="8"/>
  <c r="C131" i="1" s="1"/>
  <c r="C123" i="1"/>
  <c r="B140" i="1"/>
  <c r="B138" i="1"/>
  <c r="F33" i="12" l="1"/>
  <c r="G32" i="12"/>
  <c r="G33" i="12" s="1"/>
  <c r="D30" i="12"/>
  <c r="B31" i="12"/>
  <c r="D31" i="12" s="1"/>
  <c r="H71" i="13" s="1"/>
  <c r="H73" i="13" s="1"/>
  <c r="D39" i="12"/>
  <c r="B41" i="12"/>
  <c r="D41" i="12" s="1"/>
  <c r="H43" i="13" s="1"/>
  <c r="B139" i="1"/>
  <c r="J5" i="11" s="1"/>
  <c r="J5" i="2" l="1"/>
  <c r="H24" i="9"/>
  <c r="G24" i="9"/>
  <c r="F24" i="9"/>
  <c r="E24" i="9"/>
  <c r="D24" i="9"/>
  <c r="C24" i="9"/>
  <c r="D15" i="5"/>
  <c r="D14" i="5"/>
  <c r="I8" i="9"/>
  <c r="I9" i="9"/>
  <c r="I10" i="9"/>
  <c r="I11" i="9"/>
  <c r="I12" i="9"/>
  <c r="I13" i="9"/>
  <c r="I14" i="9"/>
  <c r="I15" i="9"/>
  <c r="I16" i="9"/>
  <c r="I17" i="9"/>
  <c r="I18" i="9"/>
  <c r="I19" i="9"/>
  <c r="I20" i="9"/>
  <c r="I21" i="9"/>
  <c r="I22" i="9"/>
  <c r="I23" i="9"/>
  <c r="I7" i="9"/>
  <c r="J24" i="9" l="1"/>
  <c r="I24" i="9"/>
  <c r="C34" i="9"/>
  <c r="I19" i="8"/>
  <c r="H19" i="8"/>
  <c r="G19" i="8"/>
  <c r="F19" i="8"/>
  <c r="E19" i="8"/>
  <c r="I18" i="8"/>
  <c r="W34" i="8" s="1"/>
  <c r="H18" i="8"/>
  <c r="G18" i="8"/>
  <c r="F18" i="8"/>
  <c r="E18" i="8"/>
  <c r="I17" i="8"/>
  <c r="H17" i="8"/>
  <c r="G17" i="8"/>
  <c r="F17" i="8"/>
  <c r="E17" i="8"/>
  <c r="I16" i="8"/>
  <c r="H16" i="8"/>
  <c r="G16" i="8"/>
  <c r="F16" i="8"/>
  <c r="E16" i="8"/>
  <c r="I12" i="8"/>
  <c r="H12" i="8"/>
  <c r="G12" i="8"/>
  <c r="F12" i="8"/>
  <c r="E12" i="8"/>
  <c r="I11" i="8"/>
  <c r="H11" i="8"/>
  <c r="G11" i="8"/>
  <c r="F11" i="8"/>
  <c r="E11" i="8"/>
  <c r="S5" i="8"/>
  <c r="R5" i="8"/>
  <c r="Q5" i="8"/>
  <c r="D34" i="1" s="1"/>
  <c r="M5" i="8"/>
  <c r="O5" i="8" s="1"/>
  <c r="N2" i="8"/>
  <c r="B18" i="4"/>
  <c r="C16" i="4"/>
  <c r="F15" i="4" s="1"/>
  <c r="B13" i="4"/>
  <c r="B2" i="4"/>
  <c r="B6" i="4" s="1"/>
  <c r="D34" i="6"/>
  <c r="D85" i="13" s="1"/>
  <c r="P85" i="13" s="1"/>
  <c r="D33" i="6"/>
  <c r="D97" i="13" s="1"/>
  <c r="P97" i="13" s="1"/>
  <c r="F15" i="13" s="1"/>
  <c r="D32" i="6"/>
  <c r="D17" i="1" s="1"/>
  <c r="D31" i="6"/>
  <c r="D5" i="1" s="1"/>
  <c r="C14" i="6"/>
  <c r="C124" i="1"/>
  <c r="H95" i="1"/>
  <c r="H94" i="1"/>
  <c r="C85" i="1"/>
  <c r="H85" i="1" s="1"/>
  <c r="C82" i="1"/>
  <c r="H82" i="1" s="1"/>
  <c r="D63" i="1"/>
  <c r="H63" i="1" s="1"/>
  <c r="E19" i="1"/>
  <c r="N19" i="1" s="1"/>
  <c r="P19" i="1" s="1"/>
  <c r="F17" i="1"/>
  <c r="G5" i="1"/>
  <c r="F5" i="1"/>
  <c r="H9" i="5"/>
  <c r="G9" i="5"/>
  <c r="B8" i="5"/>
  <c r="B7" i="5"/>
  <c r="B6" i="5"/>
  <c r="C20" i="2"/>
  <c r="E5" i="1" l="1"/>
  <c r="F19" i="13"/>
  <c r="H19" i="13" s="1"/>
  <c r="H15" i="13"/>
  <c r="F6" i="13"/>
  <c r="P118" i="13"/>
  <c r="X34" i="8"/>
  <c r="H112" i="13"/>
  <c r="T11" i="8"/>
  <c r="T34" i="8"/>
  <c r="E8" i="1"/>
  <c r="N8" i="1" s="1"/>
  <c r="O8" i="1" s="1"/>
  <c r="E52" i="1" s="1"/>
  <c r="H103" i="1"/>
  <c r="T5" i="8"/>
  <c r="H5" i="1"/>
  <c r="J5" i="1" s="1"/>
  <c r="C20" i="4"/>
  <c r="C22" i="4" s="1"/>
  <c r="B11" i="4"/>
  <c r="B16" i="4" s="1"/>
  <c r="H17" i="1"/>
  <c r="E17" i="1" s="1"/>
  <c r="C6" i="4"/>
  <c r="D6" i="4" s="1"/>
  <c r="E6" i="4" s="1"/>
  <c r="I17" i="1" s="1"/>
  <c r="C35" i="9"/>
  <c r="B15" i="5"/>
  <c r="B11" i="5"/>
  <c r="B14" i="5"/>
  <c r="B10" i="5"/>
  <c r="B13" i="5"/>
  <c r="B12" i="5"/>
  <c r="H102" i="1"/>
  <c r="J9" i="5"/>
  <c r="I9" i="5" s="1"/>
  <c r="F58" i="1"/>
  <c r="O19" i="1"/>
  <c r="C58" i="1"/>
  <c r="U5" i="8"/>
  <c r="V5" i="8" s="1"/>
  <c r="W5" i="8" s="1"/>
  <c r="H34" i="1" s="1"/>
  <c r="B27" i="1"/>
  <c r="T10" i="8"/>
  <c r="C34" i="1"/>
  <c r="N5" i="8"/>
  <c r="B34" i="1" s="1"/>
  <c r="A34" i="1"/>
  <c r="T12" i="8" l="1"/>
  <c r="P120" i="13"/>
  <c r="Q118" i="13"/>
  <c r="Q120" i="13" s="1"/>
  <c r="F10" i="13"/>
  <c r="H6" i="13"/>
  <c r="Y34" i="8"/>
  <c r="C108" i="13" s="1"/>
  <c r="C38" i="11"/>
  <c r="C51" i="11"/>
  <c r="H51" i="11" s="1"/>
  <c r="C52" i="11"/>
  <c r="H52" i="11" s="1"/>
  <c r="C48" i="11"/>
  <c r="H48" i="11" s="1"/>
  <c r="C44" i="11"/>
  <c r="H44" i="11" s="1"/>
  <c r="E108" i="13"/>
  <c r="C45" i="11"/>
  <c r="H45" i="11" s="1"/>
  <c r="C36" i="11"/>
  <c r="H36" i="11" s="1"/>
  <c r="C43" i="11"/>
  <c r="H43" i="11" s="1"/>
  <c r="C46" i="11"/>
  <c r="H46" i="11" s="1"/>
  <c r="C33" i="11"/>
  <c r="H33" i="11" s="1"/>
  <c r="C53" i="11"/>
  <c r="H53" i="11" s="1"/>
  <c r="C54" i="11"/>
  <c r="H54" i="11" s="1"/>
  <c r="C39" i="11"/>
  <c r="H39" i="11" s="1"/>
  <c r="P8" i="1"/>
  <c r="F52" i="1" s="1"/>
  <c r="N22" i="1"/>
  <c r="C52" i="1"/>
  <c r="J17" i="1"/>
  <c r="K5" i="1"/>
  <c r="L5" i="1" s="1"/>
  <c r="M5" i="1" s="1"/>
  <c r="N5" i="1" s="1"/>
  <c r="P5" i="1" s="1"/>
  <c r="F51" i="1" s="1"/>
  <c r="G7" i="5"/>
  <c r="H7" i="5" s="1"/>
  <c r="B9" i="5" s="1"/>
  <c r="E13" i="5" s="1"/>
  <c r="K17" i="1"/>
  <c r="L17" i="1" s="1"/>
  <c r="E58" i="1"/>
  <c r="O22" i="1"/>
  <c r="X5" i="8"/>
  <c r="AA5" i="8"/>
  <c r="F54" i="1" l="1"/>
  <c r="E8" i="5"/>
  <c r="E14" i="5"/>
  <c r="E10" i="5"/>
  <c r="F29" i="5" s="1"/>
  <c r="G29" i="5" s="1"/>
  <c r="H38" i="11"/>
  <c r="E38" i="11"/>
  <c r="E11" i="5"/>
  <c r="F28" i="5" s="1"/>
  <c r="G28" i="5" s="1"/>
  <c r="E15" i="5"/>
  <c r="C55" i="11"/>
  <c r="Z34" i="8"/>
  <c r="E12" i="5"/>
  <c r="F30" i="5" s="1"/>
  <c r="G30" i="5" s="1"/>
  <c r="F35" i="13"/>
  <c r="C34" i="11" s="1"/>
  <c r="H34" i="11" s="1"/>
  <c r="H10" i="13"/>
  <c r="C130" i="1"/>
  <c r="C7" i="2"/>
  <c r="P22" i="1"/>
  <c r="M17" i="1"/>
  <c r="N17" i="1" s="1"/>
  <c r="O17" i="1" s="1"/>
  <c r="E57" i="1" s="1"/>
  <c r="E60" i="1" s="1"/>
  <c r="C51" i="1"/>
  <c r="C54" i="1" s="1"/>
  <c r="O5" i="1"/>
  <c r="E51" i="1" s="1"/>
  <c r="E54" i="1" s="1"/>
  <c r="E10" i="2"/>
  <c r="C126" i="1"/>
  <c r="C128" i="1" s="1"/>
  <c r="E27" i="1"/>
  <c r="C47" i="2"/>
  <c r="C43" i="2"/>
  <c r="C51" i="2"/>
  <c r="C50" i="2"/>
  <c r="Y5" i="8"/>
  <c r="C27" i="1" s="1"/>
  <c r="G27" i="1" s="1"/>
  <c r="O34" i="1"/>
  <c r="D64" i="1" s="1"/>
  <c r="H64" i="1" s="1"/>
  <c r="H54" i="1" l="1"/>
  <c r="AB34" i="8"/>
  <c r="AC34" i="8" s="1"/>
  <c r="F108" i="13"/>
  <c r="O107" i="13" s="1"/>
  <c r="D23" i="13" s="1"/>
  <c r="H32" i="13"/>
  <c r="H33" i="13"/>
  <c r="E55" i="11"/>
  <c r="H55" i="11"/>
  <c r="C132" i="1"/>
  <c r="J28" i="2" s="1"/>
  <c r="J33" i="2"/>
  <c r="E51" i="11"/>
  <c r="E44" i="11"/>
  <c r="E48" i="11"/>
  <c r="E52" i="11"/>
  <c r="C57" i="1"/>
  <c r="C60" i="1" s="1"/>
  <c r="P17" i="1"/>
  <c r="F57" i="1" s="1"/>
  <c r="F60" i="1" s="1"/>
  <c r="H60" i="1" s="1"/>
  <c r="J25" i="2"/>
  <c r="B36" i="5"/>
  <c r="D36" i="5" s="1"/>
  <c r="G31" i="5"/>
  <c r="E16" i="5"/>
  <c r="F31" i="5"/>
  <c r="Z5" i="8"/>
  <c r="F27" i="1" s="1"/>
  <c r="E50" i="2"/>
  <c r="H50" i="2"/>
  <c r="E43" i="2"/>
  <c r="H43" i="2"/>
  <c r="E51" i="2"/>
  <c r="H51" i="2"/>
  <c r="E47" i="2"/>
  <c r="H47" i="2"/>
  <c r="C62" i="1"/>
  <c r="P27" i="1"/>
  <c r="F62" i="1" s="1"/>
  <c r="E70" i="1"/>
  <c r="J36" i="2" l="1"/>
  <c r="H23" i="13"/>
  <c r="H27" i="13" s="1"/>
  <c r="H35" i="13" s="1"/>
  <c r="H48" i="13" s="1"/>
  <c r="H60" i="13" s="1"/>
  <c r="D27" i="13"/>
  <c r="D35" i="13" s="1"/>
  <c r="C35" i="11" s="1"/>
  <c r="C33" i="2"/>
  <c r="E33" i="2" s="1"/>
  <c r="F70" i="1"/>
  <c r="C70" i="1"/>
  <c r="H87" i="1" s="1"/>
  <c r="AB5" i="8"/>
  <c r="AC5" i="8" s="1"/>
  <c r="O27" i="1"/>
  <c r="D62" i="1" s="1"/>
  <c r="D70" i="1" s="1"/>
  <c r="H67" i="1"/>
  <c r="H68" i="1"/>
  <c r="H33" i="2" l="1"/>
  <c r="C37" i="11"/>
  <c r="H37" i="11" s="1"/>
  <c r="H35" i="11"/>
  <c r="H66" i="13"/>
  <c r="H75" i="13" s="1"/>
  <c r="H76" i="13" s="1"/>
  <c r="C47" i="11"/>
  <c r="H47" i="11" s="1"/>
  <c r="E33" i="11"/>
  <c r="E45" i="11"/>
  <c r="C35" i="2"/>
  <c r="E35" i="2" s="1"/>
  <c r="C34" i="2"/>
  <c r="H34" i="2" s="1"/>
  <c r="F76" i="1"/>
  <c r="H84" i="1"/>
  <c r="H81" i="1"/>
  <c r="C84" i="1"/>
  <c r="H62" i="1"/>
  <c r="H70" i="1" s="1"/>
  <c r="C44" i="2"/>
  <c r="H44" i="2" s="1"/>
  <c r="E34" i="2" l="1"/>
  <c r="H35" i="2"/>
  <c r="E35" i="11"/>
  <c r="C36" i="2"/>
  <c r="C37" i="2" s="1"/>
  <c r="E34" i="11"/>
  <c r="H76" i="1"/>
  <c r="C42" i="2"/>
  <c r="H42" i="2" s="1"/>
  <c r="H89" i="1"/>
  <c r="E44" i="2"/>
  <c r="E43" i="11" l="1"/>
  <c r="H36" i="2"/>
  <c r="E36" i="2"/>
  <c r="E37" i="11"/>
  <c r="C45" i="2"/>
  <c r="E45" i="2" s="1"/>
  <c r="E36" i="11"/>
  <c r="E42" i="2"/>
  <c r="E37" i="2"/>
  <c r="H37" i="2"/>
  <c r="H45" i="2" l="1"/>
  <c r="E46" i="11"/>
  <c r="B35" i="5"/>
  <c r="D35" i="5" s="1"/>
  <c r="D37" i="5" s="1"/>
  <c r="B30" i="5"/>
  <c r="D30" i="5" s="1"/>
  <c r="B31" i="5"/>
  <c r="D31" i="5" s="1"/>
  <c r="C57" i="11" l="1"/>
  <c r="C53" i="2"/>
  <c r="E53" i="2" s="1"/>
  <c r="C52" i="2"/>
  <c r="H52" i="2" s="1"/>
  <c r="E39" i="11"/>
  <c r="C38" i="2"/>
  <c r="H73" i="1"/>
  <c r="H78" i="1" s="1"/>
  <c r="H91" i="1" s="1"/>
  <c r="B37" i="5"/>
  <c r="B32" i="5"/>
  <c r="D32" i="5" s="1"/>
  <c r="H104" i="1" s="1"/>
  <c r="H106" i="1" s="1"/>
  <c r="C62" i="11" l="1"/>
  <c r="H57" i="11"/>
  <c r="C49" i="11"/>
  <c r="C40" i="11"/>
  <c r="H40" i="11" s="1"/>
  <c r="C41" i="11"/>
  <c r="E52" i="2"/>
  <c r="H53" i="2"/>
  <c r="C55" i="2"/>
  <c r="C60" i="2" s="1"/>
  <c r="E47" i="11"/>
  <c r="E53" i="11"/>
  <c r="J55" i="2"/>
  <c r="E54" i="11"/>
  <c r="C46" i="2"/>
  <c r="H98" i="1"/>
  <c r="H108" i="1" s="1"/>
  <c r="H109" i="1" s="1"/>
  <c r="H38" i="2"/>
  <c r="E38" i="2"/>
  <c r="C59" i="11" l="1"/>
  <c r="C61" i="11" s="1"/>
  <c r="H49" i="11"/>
  <c r="E55" i="2"/>
  <c r="H55" i="2"/>
  <c r="C39" i="2"/>
  <c r="E39" i="2" s="1"/>
  <c r="C40" i="2"/>
  <c r="H40" i="2" s="1"/>
  <c r="E57" i="11"/>
  <c r="E49" i="11"/>
  <c r="E46" i="2"/>
  <c r="C48" i="2"/>
  <c r="H46" i="2"/>
  <c r="C60" i="11" l="1"/>
  <c r="E40" i="2"/>
  <c r="H39" i="2"/>
  <c r="E40" i="11"/>
  <c r="H41" i="11"/>
  <c r="E41" i="11"/>
  <c r="H59" i="11"/>
  <c r="E59" i="11"/>
  <c r="J40" i="2"/>
  <c r="J58" i="2" s="1"/>
  <c r="J59" i="2" s="1"/>
  <c r="E48" i="2"/>
  <c r="H48" i="2"/>
  <c r="C57" i="2"/>
  <c r="H60" i="11" l="1"/>
  <c r="E60" i="11"/>
  <c r="H61" i="11"/>
  <c r="E61" i="11"/>
  <c r="C58" i="2"/>
  <c r="C59" i="2"/>
  <c r="H57" i="2"/>
  <c r="E57" i="2"/>
  <c r="H59" i="2" l="1"/>
  <c r="E59" i="2"/>
  <c r="H58" i="2"/>
  <c r="E5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Berghofer</author>
  </authors>
  <commentList>
    <comment ref="D88" authorId="0" shapeId="0" xr:uid="{00000000-0006-0000-0000-000001000000}">
      <text>
        <r>
          <rPr>
            <b/>
            <sz val="8"/>
            <color indexed="81"/>
            <rFont val="Tahoma"/>
            <family val="2"/>
          </rPr>
          <t>Peter Berghofer:</t>
        </r>
        <r>
          <rPr>
            <sz val="8"/>
            <color indexed="81"/>
            <rFont val="Tahoma"/>
            <family val="2"/>
          </rPr>
          <t xml:space="preserve">
immer +1 für Auftragswechsel
</t>
        </r>
      </text>
    </comment>
    <comment ref="D99" authorId="0" shapeId="0" xr:uid="{00000000-0006-0000-0000-000002000000}">
      <text>
        <r>
          <rPr>
            <b/>
            <sz val="8"/>
            <color indexed="81"/>
            <rFont val="Tahoma"/>
            <family val="2"/>
          </rPr>
          <t>Peter Berghofer:</t>
        </r>
        <r>
          <rPr>
            <sz val="8"/>
            <color indexed="81"/>
            <rFont val="Tahoma"/>
            <family val="2"/>
          </rPr>
          <t xml:space="preserve">
immer +1 für Auftragswechsel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Sugetich, Josef</author>
  </authors>
  <commentList>
    <comment ref="F8" authorId="0" shapeId="0" xr:uid="{00000000-0006-0000-0100-000001000000}">
      <text>
        <r>
          <rPr>
            <b/>
            <sz val="9"/>
            <color indexed="81"/>
            <rFont val="Segoe UI"/>
            <family val="2"/>
          </rPr>
          <t>Sugetich, Josef:</t>
        </r>
        <r>
          <rPr>
            <sz val="9"/>
            <color indexed="81"/>
            <rFont val="Segoe UI"/>
            <family val="2"/>
          </rPr>
          <t xml:space="preserve">
Masse des Kupferdrahtes [g/m]</t>
        </r>
      </text>
    </comment>
    <comment ref="F16" authorId="0" shapeId="0" xr:uid="{00000000-0006-0000-0100-000002000000}">
      <text>
        <r>
          <rPr>
            <b/>
            <sz val="9"/>
            <color indexed="81"/>
            <rFont val="Segoe UI"/>
            <family val="2"/>
          </rPr>
          <t>Sugetich, Josef:</t>
        </r>
        <r>
          <rPr>
            <sz val="9"/>
            <color indexed="81"/>
            <rFont val="Segoe UI"/>
            <family val="2"/>
          </rPr>
          <t xml:space="preserve">
Masse der Beschichtung [g/m]</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Hannes Gänser</author>
  </authors>
  <commentList>
    <comment ref="A7" authorId="0" shapeId="0" xr:uid="{33A43F9F-9564-4CF9-936E-410182FE92D3}">
      <text>
        <r>
          <rPr>
            <b/>
            <sz val="9"/>
            <color indexed="81"/>
            <rFont val="Segoe UI"/>
            <charset val="1"/>
          </rPr>
          <t>Hannes Gänser:</t>
        </r>
        <r>
          <rPr>
            <sz val="9"/>
            <color indexed="81"/>
            <rFont val="Segoe UI"/>
            <charset val="1"/>
          </rPr>
          <t xml:space="preserve">
Angabe einer speziellen Zeile der Tabelle:
.Rows[1] ist die erste Datenzeile. Rows[2] die zweite usw.</t>
        </r>
      </text>
    </comment>
    <comment ref="A15" authorId="0" shapeId="0" xr:uid="{4CBE5167-963F-474E-B4B7-761B757605CA}">
      <text>
        <r>
          <rPr>
            <b/>
            <sz val="9"/>
            <color indexed="81"/>
            <rFont val="Segoe UI"/>
            <charset val="1"/>
          </rPr>
          <t>Hannes Gänser:</t>
        </r>
        <r>
          <rPr>
            <sz val="9"/>
            <color indexed="81"/>
            <rFont val="Segoe UI"/>
            <charset val="1"/>
          </rPr>
          <t xml:space="preserve">
Angabe von Tabelle.Rows = rasche Ausgabe der kompletten Tabelle nach Excel</t>
        </r>
      </text>
    </comment>
    <comment ref="B15" authorId="0" shapeId="0" xr:uid="{8595E02A-25BE-4606-8DCF-BAC97207E0A0}">
      <text>
        <r>
          <rPr>
            <b/>
            <sz val="9"/>
            <color indexed="81"/>
            <rFont val="Segoe UI"/>
            <charset val="1"/>
          </rPr>
          <t>Hannes Gänser:</t>
        </r>
        <r>
          <rPr>
            <sz val="9"/>
            <color indexed="81"/>
            <rFont val="Segoe UI"/>
            <charset val="1"/>
          </rPr>
          <t xml:space="preserve">
&lt;Alle Spalten&gt; hat nur Info-Charakter. Mit der Angabe von Tabelle.Rows wird die gesamte Tabelle ausgegeben (alle Spalten, alle Zeilen), der Wert in Spalte B wird also ignoriert.</t>
        </r>
      </text>
    </comment>
    <comment ref="C15" authorId="0" shapeId="0" xr:uid="{31CEEF45-D46B-4C77-8607-8D21DA8222D8}">
      <text>
        <r>
          <rPr>
            <b/>
            <sz val="9"/>
            <color indexed="81"/>
            <rFont val="Segoe UI"/>
            <charset val="1"/>
          </rPr>
          <t>Hannes Gänser:</t>
        </r>
        <r>
          <rPr>
            <sz val="9"/>
            <color indexed="81"/>
            <rFont val="Segoe UI"/>
            <charset val="1"/>
          </rPr>
          <t xml:space="preserve">
Der Excel-Zellenbereich, der mit dem angegebenen Namen versehen wurde. Dieser sollte sich mit der Spaltenanzahl und er maximalen Zeilenanzahl der Tabelle decken.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Peter Berghofer</author>
  </authors>
  <commentList>
    <comment ref="D8" authorId="0" shapeId="0" xr:uid="{00000000-0006-0000-0600-000001000000}">
      <text>
        <r>
          <rPr>
            <b/>
            <sz val="8"/>
            <color indexed="81"/>
            <rFont val="Tahoma"/>
            <family val="2"/>
          </rPr>
          <t>Peter Berghofer:</t>
        </r>
        <r>
          <rPr>
            <sz val="8"/>
            <color indexed="81"/>
            <rFont val="Tahoma"/>
            <family val="2"/>
          </rPr>
          <t xml:space="preserve">
immer +1 für Auftragswechsel
</t>
        </r>
      </text>
    </comment>
    <comment ref="P17" authorId="0" shapeId="0" xr:uid="{00000000-0006-0000-0600-000002000000}">
      <text>
        <r>
          <rPr>
            <b/>
            <sz val="8"/>
            <color indexed="81"/>
            <rFont val="Tahoma"/>
            <family val="2"/>
          </rPr>
          <t>Peter Berghofer:</t>
        </r>
        <r>
          <rPr>
            <sz val="8"/>
            <color indexed="81"/>
            <rFont val="Tahoma"/>
            <family val="2"/>
          </rPr>
          <t xml:space="preserve">
31€/Personalkosten Variable
</t>
        </r>
      </text>
    </comment>
    <comment ref="D19" authorId="0" shapeId="0" xr:uid="{00000000-0006-0000-0600-000003000000}">
      <text>
        <r>
          <rPr>
            <b/>
            <sz val="8"/>
            <color indexed="81"/>
            <rFont val="Tahoma"/>
            <family val="2"/>
          </rPr>
          <t>Peter Berghofer:</t>
        </r>
        <r>
          <rPr>
            <sz val="8"/>
            <color indexed="81"/>
            <rFont val="Tahoma"/>
            <family val="2"/>
          </rPr>
          <t xml:space="preserve">
immer +1 für Auftragswechsel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Berghofer, Peter</author>
  </authors>
  <commentList>
    <comment ref="C6" authorId="0" shapeId="0" xr:uid="{887FC299-98AC-4140-8B2E-E032AD233BE8}">
      <text>
        <r>
          <rPr>
            <b/>
            <sz val="9"/>
            <color indexed="81"/>
            <rFont val="Segoe UI"/>
            <charset val="1"/>
          </rPr>
          <t>Berghofer, Peter:</t>
        </r>
        <r>
          <rPr>
            <sz val="9"/>
            <color indexed="81"/>
            <rFont val="Segoe UI"/>
            <charset val="1"/>
          </rPr>
          <t xml:space="preserve">
1€ pauschal für Verzurrband und Schutzecken
</t>
        </r>
      </text>
    </comment>
  </commentList>
</comments>
</file>

<file path=xl/sharedStrings.xml><?xml version="1.0" encoding="utf-8"?>
<sst xmlns="http://schemas.openxmlformats.org/spreadsheetml/2006/main" count="942" uniqueCount="536">
  <si>
    <t>Maschine</t>
  </si>
  <si>
    <t>Maschinenstundensatz</t>
  </si>
  <si>
    <t>Verarbeitungsgeschwindigkeit</t>
  </si>
  <si>
    <t>Breie</t>
  </si>
  <si>
    <t>Dicke</t>
  </si>
  <si>
    <t>Fläche Grundmaterial</t>
  </si>
  <si>
    <t>kg/m</t>
  </si>
  <si>
    <t>m/kg</t>
  </si>
  <si>
    <t>s/kg</t>
  </si>
  <si>
    <t>Maschinenkosten</t>
  </si>
  <si>
    <t>Mitarbeiteranzahl</t>
  </si>
  <si>
    <t>Personalkosten</t>
  </si>
  <si>
    <t>Bühler</t>
  </si>
  <si>
    <t>1. Arbeitsschritt Solar / Umformung</t>
  </si>
  <si>
    <t>2. Arbeitsschritt Solar / Beschichtung</t>
  </si>
  <si>
    <t>HVZ</t>
  </si>
  <si>
    <t>Radius Beschichtung</t>
  </si>
  <si>
    <t>s/2*r</t>
  </si>
  <si>
    <t>alpha</t>
  </si>
  <si>
    <t>Fläche</t>
  </si>
  <si>
    <t>Fläche Beschichtung</t>
  </si>
  <si>
    <t>Gesamt</t>
  </si>
  <si>
    <t>h/kg</t>
  </si>
  <si>
    <t>Prices for Tinned Copper Ribbon</t>
  </si>
  <si>
    <t>fill in only orange fields!</t>
  </si>
  <si>
    <t>1.  Enter Ribbon dimensions &amp; Coating properties here:</t>
  </si>
  <si>
    <t>Density</t>
  </si>
  <si>
    <t>Weight percentage</t>
  </si>
  <si>
    <t>(g/cm³)</t>
  </si>
  <si>
    <t>ENTER PEAK</t>
  </si>
  <si>
    <t>Avg:</t>
  </si>
  <si>
    <t>Cu Width:</t>
  </si>
  <si>
    <t>[mm]</t>
  </si>
  <si>
    <t>Cu Thickness:</t>
  </si>
  <si>
    <t>ENTER MIN</t>
  </si>
  <si>
    <t>ENTER MAX</t>
  </si>
  <si>
    <t>Mittelwert:</t>
  </si>
  <si>
    <t>Coating thickness:</t>
  </si>
  <si>
    <t>[µm]</t>
  </si>
  <si>
    <t>ENTER AVG-Values!!!!</t>
  </si>
  <si>
    <t>Percentage Tin</t>
  </si>
  <si>
    <t>%</t>
  </si>
  <si>
    <t>Percentage Lead</t>
  </si>
  <si>
    <t>Percentage Silver</t>
  </si>
  <si>
    <t>Round Edge Factor:</t>
  </si>
  <si>
    <t>2.  Enter metal prices</t>
  </si>
  <si>
    <t>LME 
Copper Price</t>
  </si>
  <si>
    <t>LME
Tin Price</t>
  </si>
  <si>
    <t>LME
Lead Price</t>
  </si>
  <si>
    <t>London Fix
Silver Price</t>
  </si>
  <si>
    <t>[USD/kg]</t>
  </si>
  <si>
    <t>AVG Q4/2014</t>
  </si>
  <si>
    <t>3. Enter exchange rate USD/EUR</t>
  </si>
  <si>
    <t>AVG Q4</t>
  </si>
  <si>
    <t>The value of the metal * contained in the ribbon is:</t>
  </si>
  <si>
    <t>$</t>
  </si>
  <si>
    <t>€</t>
  </si>
  <si>
    <t>Lead</t>
  </si>
  <si>
    <t>USD per KG</t>
  </si>
  <si>
    <t>EUR per KG</t>
  </si>
  <si>
    <t>Tin</t>
  </si>
  <si>
    <t>Copper</t>
  </si>
  <si>
    <t>Silver</t>
  </si>
  <si>
    <t>Solder</t>
  </si>
  <si>
    <t>Total</t>
  </si>
  <si>
    <t>* - includes processing and yield loss factors of 10% for Copper and 25% for solder</t>
  </si>
  <si>
    <t>Wechselzeiten Walzspulen</t>
  </si>
  <si>
    <t>Anzahl der Wechsel</t>
  </si>
  <si>
    <t>RÜST</t>
  </si>
  <si>
    <t>AB Wechsel</t>
  </si>
  <si>
    <t xml:space="preserve">Anzahl der Wechsel </t>
  </si>
  <si>
    <t>RÜST WALZ</t>
  </si>
  <si>
    <t>RÜST HVZ</t>
  </si>
  <si>
    <t>RÜST GESAMT</t>
  </si>
  <si>
    <t>Wire Dimensions</t>
  </si>
  <si>
    <t>Width [mm]</t>
  </si>
  <si>
    <t>Thickness [mm]</t>
  </si>
  <si>
    <t>Order Volume</t>
  </si>
  <si>
    <t>FAB Price (Selling)</t>
  </si>
  <si>
    <t>Plating Alloy</t>
  </si>
  <si>
    <t>Plating minimum (peak)</t>
  </si>
  <si>
    <t>Plating maximum (peak)</t>
  </si>
  <si>
    <t>Plating Dimension in peak an µm</t>
  </si>
  <si>
    <t>Costs</t>
  </si>
  <si>
    <t>Machine Costs</t>
  </si>
  <si>
    <t>Hourly Personel Production</t>
  </si>
  <si>
    <t>Manufacturing Costs</t>
  </si>
  <si>
    <t>Selling Price</t>
  </si>
  <si>
    <t>Profit €/kg</t>
  </si>
  <si>
    <t>Profit %</t>
  </si>
  <si>
    <t>Freight Total</t>
  </si>
  <si>
    <t>LC Costs</t>
  </si>
  <si>
    <t>Addit. Packing</t>
  </si>
  <si>
    <t>Additional COSTS</t>
  </si>
  <si>
    <t>USD</t>
  </si>
  <si>
    <t>Gross Margin %</t>
  </si>
  <si>
    <t>Preis Basis Tabbing</t>
  </si>
  <si>
    <t>Discount Applied</t>
  </si>
  <si>
    <t>Discount to Apply</t>
  </si>
  <si>
    <t>Area</t>
  </si>
  <si>
    <t>Price Base:</t>
  </si>
  <si>
    <t>Price bei Dics:</t>
  </si>
  <si>
    <t>Tabbing</t>
  </si>
  <si>
    <t>Metall Costs Intern</t>
  </si>
  <si>
    <t>Gross Margin €</t>
  </si>
  <si>
    <t>Copper INTERN</t>
  </si>
  <si>
    <t>SOLDER INTERN</t>
  </si>
  <si>
    <t>Total SG&amp;A</t>
  </si>
  <si>
    <t>USD/EUR current</t>
  </si>
  <si>
    <t>Cut to Lenght Länger in m</t>
  </si>
  <si>
    <t>Stücke pro min</t>
  </si>
  <si>
    <t>Gewicht pro h</t>
  </si>
  <si>
    <t>Preis Adder</t>
  </si>
  <si>
    <t>Stück pro kg</t>
  </si>
  <si>
    <t>HVZ 0</t>
  </si>
  <si>
    <t>HVZ 1</t>
  </si>
  <si>
    <t>HVZ 2</t>
  </si>
  <si>
    <t>HVZ 3</t>
  </si>
  <si>
    <t>HVZ 4</t>
  </si>
  <si>
    <t>HVZ 5</t>
  </si>
  <si>
    <t>HVZ 6</t>
  </si>
  <si>
    <t>HVZ 7</t>
  </si>
  <si>
    <t>HVZ 8</t>
  </si>
  <si>
    <t>HVZ 9</t>
  </si>
  <si>
    <t>Durchschnitt</t>
  </si>
  <si>
    <t>Walzen Zell</t>
  </si>
  <si>
    <t>Bühler 1</t>
  </si>
  <si>
    <t>Bühler 2</t>
  </si>
  <si>
    <t>Bühler 3</t>
  </si>
  <si>
    <t>Fuhr</t>
  </si>
  <si>
    <t>Durchsschnitt</t>
  </si>
  <si>
    <t>Personal pro Anlage</t>
  </si>
  <si>
    <t>Walzanlagen</t>
  </si>
  <si>
    <t>Umspulanlagen</t>
  </si>
  <si>
    <t>MTPVW</t>
  </si>
  <si>
    <t>Personal / Anlage</t>
  </si>
  <si>
    <t>Production Hourly</t>
  </si>
  <si>
    <t>Production Salaried</t>
  </si>
  <si>
    <t>3. Arbeitsschritt / Verpacken</t>
  </si>
  <si>
    <t>Anzahl Verpackungseinheiten</t>
  </si>
  <si>
    <t>Verpackungskosten</t>
  </si>
  <si>
    <t>Walzen Bus</t>
  </si>
  <si>
    <t>Beschichten Zell</t>
  </si>
  <si>
    <t>Beschichten Bu</t>
  </si>
  <si>
    <t>Bus</t>
  </si>
  <si>
    <t>A &lt;1,5</t>
  </si>
  <si>
    <t>A 1,5 - 2</t>
  </si>
  <si>
    <t>A &gt;2</t>
  </si>
  <si>
    <t>4. Spulen</t>
  </si>
  <si>
    <t>Auftragsgröße</t>
  </si>
  <si>
    <t>Einheit</t>
  </si>
  <si>
    <t>foliert</t>
  </si>
  <si>
    <t>10S</t>
  </si>
  <si>
    <t xml:space="preserve">20H </t>
  </si>
  <si>
    <t>SD300</t>
  </si>
  <si>
    <t>PV300</t>
  </si>
  <si>
    <t>K125</t>
  </si>
  <si>
    <t>Spule</t>
  </si>
  <si>
    <t>Preis/Suple</t>
  </si>
  <si>
    <t>kg/Spule</t>
  </si>
  <si>
    <t>Mehrwegspule</t>
  </si>
  <si>
    <t>Verpackung</t>
  </si>
  <si>
    <t xml:space="preserve">Foliert </t>
  </si>
  <si>
    <t>Preis/VP Einheit</t>
  </si>
  <si>
    <t>Apalte Sverweis</t>
  </si>
  <si>
    <t>Anzahl Spulen/ VP Einheit</t>
  </si>
  <si>
    <t>Gewicht/ VP Einheit</t>
  </si>
  <si>
    <t>Anzahl VP Einheiten</t>
  </si>
  <si>
    <t>Spulenkosten</t>
  </si>
  <si>
    <t>Verpackungskosten GESAMT</t>
  </si>
  <si>
    <t>Verpackungskosten / kg</t>
  </si>
  <si>
    <t>12er</t>
  </si>
  <si>
    <t>Spule_HKV160_bikonisch</t>
  </si>
  <si>
    <t>84er</t>
  </si>
  <si>
    <t>28er</t>
  </si>
  <si>
    <t>108er 2w</t>
  </si>
  <si>
    <t>12er &amp; 28er</t>
  </si>
  <si>
    <t>2x 28er</t>
  </si>
  <si>
    <t>2x 8er (300er)</t>
  </si>
  <si>
    <t>4x 8er (300er)</t>
  </si>
  <si>
    <t>G 84er</t>
  </si>
  <si>
    <t>G 108er 2w</t>
  </si>
  <si>
    <t>G 108er (K125)</t>
  </si>
  <si>
    <t>G 108er 3w</t>
  </si>
  <si>
    <t>Spule_10S</t>
  </si>
  <si>
    <t>Spule_10SD20</t>
  </si>
  <si>
    <t>Spule_10SB</t>
  </si>
  <si>
    <t>Spule_20H</t>
  </si>
  <si>
    <t>20H</t>
  </si>
  <si>
    <t>Spule_P5R/JP5_LCR Sanyo</t>
  </si>
  <si>
    <t>P5R</t>
  </si>
  <si>
    <t>Spule_PV300 (weiß)</t>
  </si>
  <si>
    <t>Spule_SD300 (schwarz)</t>
  </si>
  <si>
    <t>Spule_K125</t>
  </si>
  <si>
    <t xml:space="preserve">Beschichtungslegierungen </t>
  </si>
  <si>
    <t>Legierungen</t>
  </si>
  <si>
    <t>SnPb 60/40</t>
  </si>
  <si>
    <t>SnPbAg 62/36/2</t>
  </si>
  <si>
    <t>SnPb 63/37</t>
  </si>
  <si>
    <t>Sn 100</t>
  </si>
  <si>
    <t>SnAg 96,5/3,5</t>
  </si>
  <si>
    <t>Blank</t>
  </si>
  <si>
    <t>Sn</t>
  </si>
  <si>
    <t>Pb</t>
  </si>
  <si>
    <t>Ag</t>
  </si>
  <si>
    <t>Cu</t>
  </si>
  <si>
    <t>Dichte</t>
  </si>
  <si>
    <t>Nein</t>
  </si>
  <si>
    <t>Spulen</t>
  </si>
  <si>
    <t>Überverpackung</t>
  </si>
  <si>
    <t>Art der Kartonverpackung</t>
  </si>
  <si>
    <t>Folierung</t>
  </si>
  <si>
    <t>Aktuell gewählte Legierung</t>
  </si>
  <si>
    <t>Aktuelle Dichte</t>
  </si>
  <si>
    <t>Preis pro Suple</t>
  </si>
  <si>
    <t>Anzahl Spulen/VPE</t>
  </si>
  <si>
    <t>Gewicht/VPW</t>
  </si>
  <si>
    <t>Zeit pro VPE</t>
  </si>
  <si>
    <t>Zeit pro VPE foliert</t>
  </si>
  <si>
    <t>Zeit zum Verpacken</t>
  </si>
  <si>
    <t>Zeit zum Folieren</t>
  </si>
  <si>
    <t>VP Material Kosten</t>
  </si>
  <si>
    <t>Zeitaufwand Verpacken</t>
  </si>
  <si>
    <t>VP Materialkosten</t>
  </si>
  <si>
    <t>VP Personalkosten</t>
  </si>
  <si>
    <t>Spulentyp</t>
  </si>
  <si>
    <t>Spulen Materialkosten</t>
  </si>
  <si>
    <t>TOTAL</t>
  </si>
  <si>
    <t>KOSTEN</t>
  </si>
  <si>
    <t>Herstellkosten Walzen</t>
  </si>
  <si>
    <t>Rüstkosten Walkzen</t>
  </si>
  <si>
    <t>Zeitaufwand</t>
  </si>
  <si>
    <t>GESAMT WALZEN</t>
  </si>
  <si>
    <t>Materialkosten/kg</t>
  </si>
  <si>
    <t>Maschinenkosten/kg</t>
  </si>
  <si>
    <t>Peronsalkosten/kg</t>
  </si>
  <si>
    <t>Herstellkosten Beschichten</t>
  </si>
  <si>
    <t>Rüstkosten Beschichten</t>
  </si>
  <si>
    <t>GESAMT BESCHICHTEN</t>
  </si>
  <si>
    <t>Materialkosten INTERN</t>
  </si>
  <si>
    <t>HERSTELLUNGSKOSTEN</t>
  </si>
  <si>
    <t>Produktionskosten exkl. VP exkl. Spulen</t>
  </si>
  <si>
    <t>Produktionskosten exkl.VP inkl. Spulen</t>
  </si>
  <si>
    <t>Produktionskosten GESAMT</t>
  </si>
  <si>
    <t>Personalkosten Angestellte Produktion</t>
  </si>
  <si>
    <t>Comissions</t>
  </si>
  <si>
    <t>Comission (ENLOG,…)</t>
  </si>
  <si>
    <t>Vertrieb</t>
  </si>
  <si>
    <t>Vertriebskosten ohne Personalk</t>
  </si>
  <si>
    <t>Perosonalkosten Vertrieb allgemein</t>
  </si>
  <si>
    <t>Vertrieb Personal allg</t>
  </si>
  <si>
    <t>Vetrieb Auftragsbezogen</t>
  </si>
  <si>
    <t>Personalkosten Vetrieb Auftragsbezogen</t>
  </si>
  <si>
    <t>entspricht 912 Aufträgen (berechnet aus durchschnittsauftragsgröße)</t>
  </si>
  <si>
    <t>Admin Kosten</t>
  </si>
  <si>
    <t>Administrationskosten div.</t>
  </si>
  <si>
    <t>GESAMT ADMIN KOSTEN</t>
  </si>
  <si>
    <t>Versand</t>
  </si>
  <si>
    <t>LC Kosten</t>
  </si>
  <si>
    <t>PRODUKTKOSTEN (exw)</t>
  </si>
  <si>
    <t>Produktkosten geliefert</t>
  </si>
  <si>
    <t>Metal Sales</t>
  </si>
  <si>
    <t>TOTAL SALES PRICE</t>
  </si>
  <si>
    <t>Profit</t>
  </si>
  <si>
    <t>Fabrikationspreis exw</t>
  </si>
  <si>
    <t>Zusatzverpackungsmaterial</t>
  </si>
  <si>
    <t>Versand, LC</t>
  </si>
  <si>
    <t>Sales costs</t>
  </si>
  <si>
    <t>Sales Comissions</t>
  </si>
  <si>
    <t>Admin Costs</t>
  </si>
  <si>
    <t>Cost of Product EXW</t>
  </si>
  <si>
    <t>Cost of Product (delivered)</t>
  </si>
  <si>
    <t>FAB price EXW</t>
  </si>
  <si>
    <t>€/m</t>
  </si>
  <si>
    <t>Copper Sales</t>
  </si>
  <si>
    <t>Solder Sales</t>
  </si>
  <si>
    <t>Percentage Copper</t>
  </si>
  <si>
    <t>SnAgCu 96,5/3/0,5</t>
  </si>
  <si>
    <t>Bi</t>
  </si>
  <si>
    <t>SnAgCu96,2/3/0,8</t>
  </si>
  <si>
    <t>SnPb20/80</t>
  </si>
  <si>
    <t>SnPb10/90</t>
  </si>
  <si>
    <t>SnBi62/38</t>
  </si>
  <si>
    <t>SnBi20/80</t>
  </si>
  <si>
    <t>SnBiAg60/38/2</t>
  </si>
  <si>
    <t>SnBiAg42/57/1</t>
  </si>
  <si>
    <t>SnBi42/58</t>
  </si>
  <si>
    <t>Ag100</t>
  </si>
  <si>
    <t>In</t>
  </si>
  <si>
    <t>InSn52/48</t>
  </si>
  <si>
    <t>Percentage Bismuth</t>
  </si>
  <si>
    <t>Percentage Indium</t>
  </si>
  <si>
    <t xml:space="preserve">London Fix Indium Price </t>
  </si>
  <si>
    <t>London Fix Bismuth Price</t>
  </si>
  <si>
    <t>Percentage</t>
  </si>
  <si>
    <t>Manuell</t>
  </si>
  <si>
    <t>Elements</t>
  </si>
  <si>
    <t>Enter AVG -&gt; PEAK</t>
  </si>
  <si>
    <t>Mtl. Costs Packing, Spool</t>
  </si>
  <si>
    <t>Salaried Personal Prod.</t>
  </si>
  <si>
    <t xml:space="preserve">Delivery, LC, financing,... </t>
  </si>
  <si>
    <t>. Quartal</t>
  </si>
  <si>
    <t>Metall Price Basis</t>
  </si>
  <si>
    <t>DATE</t>
  </si>
  <si>
    <t>CUT TO LENGTH</t>
  </si>
  <si>
    <t>600 Stk. Rohr</t>
  </si>
  <si>
    <t>Karton_Rohre I-shape_1,50m</t>
  </si>
  <si>
    <t>Karton_Kunststoff-Verschlußkappen for Rohre</t>
  </si>
  <si>
    <t>€/mm</t>
  </si>
  <si>
    <t>Lenge I-Shape</t>
  </si>
  <si>
    <t>Kosten Deckel pro I-Shape</t>
  </si>
  <si>
    <t>Kosten Kartonrohr + 10mm beidseit. Verschnitt</t>
  </si>
  <si>
    <t>Verpackungskosten pro Stück</t>
  </si>
  <si>
    <t>Stk. Rohr</t>
  </si>
  <si>
    <t>Verpackungszusatzkosten pro kg</t>
  </si>
  <si>
    <t>Add. Packing Costs</t>
  </si>
  <si>
    <t>Add. Personal Cost</t>
  </si>
  <si>
    <t>FAB CUT TO LENGTH</t>
  </si>
  <si>
    <t>Delivery and LC costs</t>
  </si>
  <si>
    <t>SELLING PRICE</t>
  </si>
  <si>
    <t>PROFIT CUT TO LENGTH</t>
  </si>
  <si>
    <t>Cost of Product DEL</t>
  </si>
  <si>
    <t>Add. TOTAL Cost</t>
  </si>
  <si>
    <t>USD/EUR</t>
  </si>
  <si>
    <t>Monthly AVG</t>
  </si>
  <si>
    <t>Total Order Volume</t>
  </si>
  <si>
    <t>Total Profit €</t>
  </si>
  <si>
    <t>Comments</t>
  </si>
  <si>
    <t>Cu [$/to]</t>
  </si>
  <si>
    <t>Sn [$/to]</t>
  </si>
  <si>
    <t>Pb [$/to]</t>
  </si>
  <si>
    <t>Ag  [$/kg]</t>
  </si>
  <si>
    <t>Ag [€/kg]</t>
  </si>
  <si>
    <t>€/USD</t>
  </si>
  <si>
    <t>Aktuelles Quartal</t>
  </si>
  <si>
    <t>Aktueller Monat</t>
  </si>
  <si>
    <t>Aktueller Tag</t>
  </si>
  <si>
    <t>Aktuelles Jahr</t>
  </si>
  <si>
    <t>Quartal</t>
  </si>
  <si>
    <t>Jahr</t>
  </si>
  <si>
    <t>Aktueller 3 Months average</t>
  </si>
  <si>
    <t>Zielquartal</t>
  </si>
  <si>
    <t>Zieljahr</t>
  </si>
  <si>
    <t>Rolling 3 Month Average</t>
  </si>
  <si>
    <t>Month</t>
  </si>
  <si>
    <t>M1</t>
  </si>
  <si>
    <t>M2</t>
  </si>
  <si>
    <t>M3</t>
  </si>
  <si>
    <t>3MONTHS AVG</t>
  </si>
  <si>
    <t>ROLLING Monthly</t>
  </si>
  <si>
    <t>ROLLING 3M AVG</t>
  </si>
  <si>
    <t>Daily</t>
  </si>
  <si>
    <t>Metallpreise hinterlegt abfrage</t>
  </si>
  <si>
    <t>Heute</t>
  </si>
  <si>
    <t>Voriger Monat</t>
  </si>
  <si>
    <t>Durchschnitte werden automatisch berechnet !</t>
  </si>
  <si>
    <t xml:space="preserve">DAILY </t>
  </si>
  <si>
    <t>Tagesaktuelle Metall HIER EINGEBEN</t>
  </si>
  <si>
    <t>Metall HISTORY - Jeweils am 1. des Monats die Durchschnitte des Vormonats eintragen. Die Berechnung des 3 Monats Durchschnitts und des Rollierenden 3 Monats Durchschnitt erfolgt automatisch basierend am heutigen Datum</t>
  </si>
  <si>
    <t>Ja</t>
  </si>
  <si>
    <t>Solar Wire Calaculation STANDARD</t>
  </si>
  <si>
    <t>Diamter Base Material [mm]</t>
  </si>
  <si>
    <t>Prices for Tinned Copper Round wire</t>
  </si>
  <si>
    <t>Weight -%</t>
  </si>
  <si>
    <t xml:space="preserve"> [g/cm³]</t>
  </si>
  <si>
    <t>[g/m]</t>
  </si>
  <si>
    <t>Cu Diameter:</t>
  </si>
  <si>
    <t>[m/kg]</t>
  </si>
  <si>
    <t>PEAK VALUE</t>
  </si>
  <si>
    <t xml:space="preserve">Percentage Bismut </t>
  </si>
  <si>
    <t>Dichte Beschichtung</t>
  </si>
  <si>
    <t>London Fix
Indium Price</t>
  </si>
  <si>
    <t>London Fix
Bismut Price</t>
  </si>
  <si>
    <t>Indium</t>
  </si>
  <si>
    <t>Bismut</t>
  </si>
  <si>
    <t>1. Arbeitsschritt / Beschichten Runddraht</t>
  </si>
  <si>
    <t>DM [mm]</t>
  </si>
  <si>
    <t>Wechselzeiten Runddrahtspulen</t>
  </si>
  <si>
    <t>Umspulanlage</t>
  </si>
  <si>
    <t>Wechselzeiten Fertigspulen</t>
  </si>
  <si>
    <t>Maschinenksten</t>
  </si>
  <si>
    <t>GESAMT</t>
  </si>
  <si>
    <t>Fertigung</t>
  </si>
  <si>
    <t>Rüstzeit</t>
  </si>
  <si>
    <t>Kostensätze Sonstiges</t>
  </si>
  <si>
    <t>Angestellte Produktion</t>
  </si>
  <si>
    <t>Verkauf</t>
  </si>
  <si>
    <t>Administration Total</t>
  </si>
  <si>
    <t>Umpspulanlage</t>
  </si>
  <si>
    <t>Strands</t>
  </si>
  <si>
    <t>Gesamt v</t>
  </si>
  <si>
    <t xml:space="preserve">Plating Average </t>
  </si>
  <si>
    <t>Schichtstärke</t>
  </si>
  <si>
    <t>ROUTING:</t>
  </si>
  <si>
    <t>Bühler/Fuhr</t>
  </si>
  <si>
    <t>Fenn</t>
  </si>
  <si>
    <t>Weight per Spool</t>
  </si>
  <si>
    <t>Gewicht pro Spule</t>
  </si>
  <si>
    <t>RÜST Umspul</t>
  </si>
  <si>
    <t>Spulen MTPVW</t>
  </si>
  <si>
    <t>Spule MTPVW</t>
  </si>
  <si>
    <t>Preis/Spule</t>
  </si>
  <si>
    <t>Max Gewi</t>
  </si>
  <si>
    <t>Spalte Ver</t>
  </si>
  <si>
    <t>Anzahl Spulen / VP Ewinheit</t>
  </si>
  <si>
    <t>Gew</t>
  </si>
  <si>
    <t>Anzahl VP</t>
  </si>
  <si>
    <t>Verpackung Gesamt</t>
  </si>
  <si>
    <t>Verpackung / kg</t>
  </si>
  <si>
    <t>Herstellkosten 1. Arbeitsschritt</t>
  </si>
  <si>
    <t>Rüstkosten 1. Arbeitsschritt</t>
  </si>
  <si>
    <t>GESAMT 1. ARBEITSSCHRITT</t>
  </si>
  <si>
    <t>Herstellkosten 2. Arbeitsschritt</t>
  </si>
  <si>
    <t>Rüstkosten 2. Arbeitsschritt</t>
  </si>
  <si>
    <t>GESAMT 2. ARBEITSSCHRITT</t>
  </si>
  <si>
    <t>3. Verpacken</t>
  </si>
  <si>
    <t>Anzahl SP/VPE</t>
  </si>
  <si>
    <t>Zusatz Verpackung</t>
  </si>
  <si>
    <t>SUMME VERPACKUNGEN</t>
  </si>
  <si>
    <t>Vormaterialien Runddraht:</t>
  </si>
  <si>
    <t>ETP 0,20 w</t>
  </si>
  <si>
    <t>Anka</t>
  </si>
  <si>
    <t>ER-Bakir</t>
  </si>
  <si>
    <t>ETP 0,20 h</t>
  </si>
  <si>
    <t>ETP 0,25 w</t>
  </si>
  <si>
    <t>OF 0,25 w</t>
  </si>
  <si>
    <t>ETP 0,30 w</t>
  </si>
  <si>
    <t>OF 0,30 w</t>
  </si>
  <si>
    <t>Vormaterialkosten</t>
  </si>
  <si>
    <t>Raw Material FAB Costs</t>
  </si>
  <si>
    <t>HESTELLKOSTEN</t>
  </si>
  <si>
    <t>GESAMTADMIN KOSTEN</t>
  </si>
  <si>
    <t>PROUKTKOSTEN EXW</t>
  </si>
  <si>
    <t>Metallkosten intern</t>
  </si>
  <si>
    <t>Raw Materials intern</t>
  </si>
  <si>
    <t>Copper intern</t>
  </si>
  <si>
    <t>Solder intern</t>
  </si>
  <si>
    <t>Fab EXW</t>
  </si>
  <si>
    <t>TOTAL METAL SALES</t>
  </si>
  <si>
    <t xml:space="preserve"> Calaculation MTPVW</t>
  </si>
  <si>
    <t xml:space="preserve">PREVIEW NEXT QUARTER   PREVIEW NEXT QUARTER    PREVIEW NEXT QUARTER    PREVIEW NEXT QUARTER    PREVIEW NEXT QUARTER    PREVIEW NEXT QUARTER   PREVIEW NEXT QUARTER </t>
  </si>
  <si>
    <t>VORSCHAU NEXT QUATER</t>
  </si>
  <si>
    <t>Preview Next Q</t>
  </si>
  <si>
    <t>Preview NextQ</t>
  </si>
  <si>
    <t>€/km</t>
  </si>
  <si>
    <t>Maschinenstundensätze 2022</t>
  </si>
  <si>
    <t>* neu für 0,5x0,2</t>
  </si>
  <si>
    <t>120er (K125)</t>
  </si>
  <si>
    <t>---</t>
  </si>
  <si>
    <t>HVZ3+UMSP</t>
  </si>
  <si>
    <t>MTPVW+UMSPUL; HVZ; HVZ3+UMSP</t>
  </si>
  <si>
    <t>HVZ Runddraht</t>
  </si>
  <si>
    <t>HVZ 3- fach Runddraht</t>
  </si>
  <si>
    <t>Excel Cellname</t>
  </si>
  <si>
    <t>Direction</t>
  </si>
  <si>
    <t>Beschreibung</t>
  </si>
  <si>
    <t>Crm Value / Conversion</t>
  </si>
  <si>
    <t>POLLEXToExcel</t>
  </si>
  <si>
    <t>Angebotpositionen</t>
  </si>
  <si>
    <t>ExcelToPOLLEX</t>
  </si>
  <si>
    <t>SQL</t>
  </si>
  <si>
    <t>Referenz-Feld</t>
  </si>
  <si>
    <t>Tabellenname</t>
  </si>
  <si>
    <t>Anmerkung</t>
  </si>
  <si>
    <t>Abfrage der chemischen Elemente mit Dichte und Tageskurs</t>
  </si>
  <si>
    <t>chem_elemente</t>
  </si>
  <si>
    <t>Abfrage der "Arbeitspläne" des Artikels - die Artikelnummer entspricht jener aus der Auftragsposition</t>
  </si>
  <si>
    <t>Arbeitsplan</t>
  </si>
  <si>
    <t>chem_elemente.Row[1]</t>
  </si>
  <si>
    <t>Kuerzel</t>
  </si>
  <si>
    <t>Kurs</t>
  </si>
  <si>
    <t>Chemisches Element 1</t>
  </si>
  <si>
    <t>SQLResults.A3</t>
  </si>
  <si>
    <t>SQLResults.B3</t>
  </si>
  <si>
    <t>SQLResults.A4</t>
  </si>
  <si>
    <t>SQLResults.B4</t>
  </si>
  <si>
    <t>SQLResults.A5</t>
  </si>
  <si>
    <t>SQLResults.B5</t>
  </si>
  <si>
    <t>chem_elemente.Row[2]</t>
  </si>
  <si>
    <t>chem_elemente.Row[3]</t>
  </si>
  <si>
    <t>chem_elemente.Row[4]</t>
  </si>
  <si>
    <t>Chemisches Element 2</t>
  </si>
  <si>
    <t>Chemisches Element 3</t>
  </si>
  <si>
    <t>Chemisches Element 4</t>
  </si>
  <si>
    <t>Metallpreise</t>
  </si>
  <si>
    <t>SQLResults.A6</t>
  </si>
  <si>
    <t>SQLResults.B6</t>
  </si>
  <si>
    <t>Ebene</t>
  </si>
  <si>
    <t>Listennummer</t>
  </si>
  <si>
    <t>Artikelnummer</t>
  </si>
  <si>
    <t>Art</t>
  </si>
  <si>
    <t>Preis</t>
  </si>
  <si>
    <t>DRAHT_FERTIG</t>
  </si>
  <si>
    <t>BESCHICHTUNG</t>
  </si>
  <si>
    <t>KUPFER_GEWALZT</t>
  </si>
  <si>
    <t>KUPFER_UMGEARBEITET</t>
  </si>
  <si>
    <t>AZ</t>
  </si>
  <si>
    <t>KUPFER_ROH</t>
  </si>
  <si>
    <t>Arbeitsgang</t>
  </si>
  <si>
    <t>Arbeitsplan.Rows</t>
  </si>
  <si>
    <t>Arbeitsplan Schritte</t>
  </si>
  <si>
    <t>Arbeitsplanschritte</t>
  </si>
  <si>
    <t>Stückpreis</t>
  </si>
  <si>
    <t>ACALC_rd.C10</t>
  </si>
  <si>
    <t>ACALC_rd.C51</t>
  </si>
  <si>
    <t>ACALC_rd.C53</t>
  </si>
  <si>
    <t>ACALC_rd.C54</t>
  </si>
  <si>
    <t>VK_Preis</t>
  </si>
  <si>
    <t>ACALC_rd.C47</t>
  </si>
  <si>
    <t>&lt;Alle Spalten&gt;</t>
  </si>
  <si>
    <t>Angebotpositionen.Artikelnummer</t>
  </si>
  <si>
    <t>select kuerzel,bezeichnung,dichte,kurs from chem_elemente order by kuerzel</t>
  </si>
  <si>
    <t>select level ebene, l.listennummer,l.artikelnummer,l.art, l.Stueck as Preis from artikellisten l start with l.listennummer=(Select Listennummer from artikellisten where Listennummer is not null and Artikelnummer = '%reference%' and Inx=4135 and ROWNUM = 1) connect by l.listennummer=prior l.artikelnummer</t>
  </si>
  <si>
    <t>Test2</t>
  </si>
  <si>
    <t>Test</t>
  </si>
  <si>
    <t>Dummy-1</t>
  </si>
  <si>
    <t>Dummy-3</t>
  </si>
  <si>
    <t>Dummy-2</t>
  </si>
  <si>
    <t>?</t>
  </si>
  <si>
    <t>USER1</t>
  </si>
  <si>
    <t>USER2</t>
  </si>
  <si>
    <t>USER3</t>
  </si>
  <si>
    <t>PREISORIGINAL</t>
  </si>
  <si>
    <t>Interne Info</t>
  </si>
  <si>
    <t>Test3</t>
  </si>
  <si>
    <t>Tabelle/Zeilen</t>
  </si>
  <si>
    <t>Crm Field/Fields</t>
  </si>
  <si>
    <t xml:space="preserve">Exportiert das SQL-Ergebnis von "Arbeitsplan" in den Zellenbereich "Arbeitsplanschritte" </t>
  </si>
  <si>
    <t>Gibt Kuerzel-Wert der 1. Zeile aus. Excel-Inhalt wird gelöscht, wenn Zeile nicht vorhanden ist.</t>
  </si>
  <si>
    <t>Gibt Kurs-Wert der 1. Zeile aus. Excel-Inhalt wird gelöscht, wenn Zeile nicht vorhanden ist.</t>
  </si>
  <si>
    <t>Gibt Kuerzel-Wert der 2. Zeile aus. Excel-Inhalt wird gelöscht, wenn Zeile nicht vorhanden ist.</t>
  </si>
  <si>
    <t>Gibt Kurs-Wert der 2. Zeile aus. Excel-Inhalt wird gelöscht, wenn Zeile nicht vorhanden ist.</t>
  </si>
  <si>
    <t>Gibt Kuerzel-Wert der 3. Zeile aus. Excel-Inhalt wird gelöscht, wenn Zeile nicht vorhanden ist.</t>
  </si>
  <si>
    <t>Gibt Kurs-Wert der 3. Zeile aus. Excel-Inhalt wird gelöscht, wenn Zeile nicht vorhanden ist.</t>
  </si>
  <si>
    <t>Gibt Kuerzel-Wert der 4. Zeile aus. Excel-Inhalt wird gelöscht, wenn Zeile nicht vorhanden ist.</t>
  </si>
  <si>
    <t>Gibt Kurs-Wert der 4. Zeile aus. Excel-Inhalt wird gelöscht, wenn Zeile nicht vorhanden 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</si>
</sst>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164" formatCode="_-&quot;€&quot;\ * #,##0.00_-;\-&quot;€&quot;\ * #,##0.00_-;_-&quot;€&quot;\ * &quot;-&quot;??_-;_-@_-"/>
    <numFmt numFmtId="165" formatCode="#,##0.00\ &quot;€/h&quot;"/>
    <numFmt numFmtId="166" formatCode="#,##0.00\ &quot;m/s&quot;"/>
    <numFmt numFmtId="167" formatCode="#,##0.00\ &quot;mm&quot;"/>
    <numFmt numFmtId="168" formatCode="#,##0.00\ &quot;mm²&quot;"/>
    <numFmt numFmtId="169" formatCode="#,##0.0000000\ &quot;kg/m&quot;"/>
    <numFmt numFmtId="170" formatCode="#,##0.00\ &quot;m/kg&quot;"/>
    <numFmt numFmtId="171" formatCode="#,##0.00\ &quot;s/kg&quot;"/>
    <numFmt numFmtId="172" formatCode="#,##0.00\ &quot;h/kg&quot;"/>
    <numFmt numFmtId="173" formatCode="#,##0.00\ &quot;€/kg&quot;"/>
    <numFmt numFmtId="174" formatCode="0.00000"/>
    <numFmt numFmtId="175" formatCode="0.0000"/>
    <numFmt numFmtId="176" formatCode="0.000"/>
    <numFmt numFmtId="177" formatCode="0.00000000"/>
    <numFmt numFmtId="178" formatCode="0.00\ &quot;µm&quot;"/>
    <numFmt numFmtId="179" formatCode="#,##0.0000\ &quot;mm²&quot;"/>
    <numFmt numFmtId="180" formatCode="#,##0.000000\ &quot;mm²&quot;"/>
    <numFmt numFmtId="181" formatCode="#,##0.000\ &quot;h/kg&quot;"/>
    <numFmt numFmtId="182" formatCode="0.0%"/>
    <numFmt numFmtId="183" formatCode="0.0"/>
    <numFmt numFmtId="184" formatCode="#,##0.00\ &quot;kg&quot;"/>
    <numFmt numFmtId="185" formatCode="#,##0.0\ &quot;h&quot;"/>
    <numFmt numFmtId="186" formatCode="#,##0.00\ &quot;h&quot;"/>
    <numFmt numFmtId="187" formatCode="[$€-2]\ #,##0.00;\-[$€-2]\ #,##0.00"/>
    <numFmt numFmtId="188" formatCode="#,##0.0000"/>
    <numFmt numFmtId="189" formatCode="0.00\ &quot;$/kg&quot;"/>
    <numFmt numFmtId="190" formatCode="#,##0.00\ &quot;$/kg&quot;"/>
    <numFmt numFmtId="191" formatCode="[$$-409]#,##0.00_ ;\-[$$-409]#,##0.00\ "/>
    <numFmt numFmtId="192" formatCode="0.00\ &quot; mm&quot;"/>
    <numFmt numFmtId="193" formatCode="0.00\ &quot;kg/h&quot;"/>
    <numFmt numFmtId="194" formatCode="0.00\ &quot;€/kg&quot;"/>
    <numFmt numFmtId="195" formatCode="0.0000\ &quot;€/m&quot;"/>
    <numFmt numFmtId="196" formatCode="0.00\ &quot;m/s&quot;"/>
    <numFmt numFmtId="197" formatCode="0.00\ &quot;€/h&quot;"/>
    <numFmt numFmtId="198" formatCode="#,##0.0000\ &quot;h/kg&quot;"/>
    <numFmt numFmtId="199" formatCode="_-[$€-C07]\ * #,##0.00_-;\-[$€-C07]\ * #,##0.00_-;_-[$€-C07]\ * &quot;-&quot;??_-;_-@_-"/>
    <numFmt numFmtId="200" formatCode="#,##0\ &quot;kg&quot;"/>
    <numFmt numFmtId="201" formatCode="0.00\ &quot;kg&quot;"/>
    <numFmt numFmtId="202" formatCode="0.00\ &quot;€/Spule&quot;"/>
    <numFmt numFmtId="203" formatCode="#,##0.000\ &quot;€/kg&quot;"/>
    <numFmt numFmtId="204" formatCode="#,##0.0000\ &quot;€/kg&quot;"/>
    <numFmt numFmtId="205" formatCode="#,##0.000"/>
    <numFmt numFmtId="206" formatCode="0.00000\ &quot;€/m&quot;"/>
    <numFmt numFmtId="207" formatCode="0.000000\ &quot;€/m&quot;"/>
    <numFmt numFmtId="208" formatCode="[$-409]d\-mmm;@"/>
    <numFmt numFmtId="209" formatCode="#,##0\ &quot;Stk/kg&quot;"/>
    <numFmt numFmtId="210" formatCode="&quot;€&quot;\ #,##0.00"/>
    <numFmt numFmtId="211" formatCode="[$-409]mmm\-yy;@"/>
    <numFmt numFmtId="212" formatCode="0.00\ &quot;$/t&quot;"/>
    <numFmt numFmtId="213" formatCode="#,##0.000\ &quot;mm&quot;"/>
    <numFmt numFmtId="214" formatCode="#,##0.0000\ &quot;mm&quot;"/>
    <numFmt numFmtId="215" formatCode="#,##0.00000\ &quot;mm²&quot;"/>
    <numFmt numFmtId="216" formatCode="#,##0\ &quot;m/kg&quot;"/>
  </numFmts>
  <fonts count="48" x14ac:knownFonts="1">
    <font>
      <sz val="10"/>
      <name val="Arial"/>
    </font>
    <font>
      <sz val="10"/>
      <name val="Arial"/>
      <family val="2"/>
    </font>
    <font>
      <sz val="8"/>
      <name val="Arial"/>
      <family val="2"/>
    </font>
    <font>
      <b/>
      <sz val="10"/>
      <name val="Arial"/>
      <family val="2"/>
    </font>
    <font>
      <sz val="8"/>
      <color indexed="81"/>
      <name val="Tahoma"/>
      <family val="2"/>
    </font>
    <font>
      <b/>
      <sz val="8"/>
      <color indexed="81"/>
      <name val="Tahoma"/>
      <family val="2"/>
    </font>
    <font>
      <b/>
      <sz val="14"/>
      <name val="Arial"/>
      <family val="2"/>
    </font>
    <font>
      <b/>
      <sz val="12"/>
      <name val="Arial"/>
      <family val="2"/>
    </font>
    <font>
      <sz val="10"/>
      <color indexed="10"/>
      <name val="Arial"/>
      <family val="2"/>
    </font>
    <font>
      <sz val="10"/>
      <color indexed="9"/>
      <name val="Arial"/>
      <family val="2"/>
    </font>
    <font>
      <sz val="11"/>
      <color indexed="8"/>
      <name val="Bookman Old Style"/>
      <family val="1"/>
    </font>
    <font>
      <sz val="10"/>
      <name val="Calibri"/>
      <family val="2"/>
    </font>
    <font>
      <b/>
      <sz val="10"/>
      <name val="Calibri"/>
      <family val="2"/>
    </font>
    <font>
      <i/>
      <sz val="10"/>
      <name val="Calibri"/>
      <family val="2"/>
    </font>
    <font>
      <b/>
      <i/>
      <sz val="10"/>
      <name val="Calibri"/>
      <family val="2"/>
    </font>
    <font>
      <b/>
      <sz val="10"/>
      <color indexed="9"/>
      <name val="Calibri"/>
      <family val="2"/>
    </font>
    <font>
      <sz val="8"/>
      <name val="Calibri"/>
      <family val="2"/>
    </font>
    <font>
      <b/>
      <sz val="16"/>
      <color indexed="9"/>
      <name val="Calibri"/>
      <family val="2"/>
    </font>
    <font>
      <sz val="10"/>
      <name val="Arial"/>
      <family val="2"/>
    </font>
    <font>
      <sz val="10"/>
      <color indexed="8"/>
      <name val="Arial"/>
      <family val="2"/>
    </font>
    <font>
      <sz val="10"/>
      <color theme="0"/>
      <name val="Calibri"/>
      <family val="2"/>
    </font>
    <font>
      <sz val="8"/>
      <name val="Calibri Light"/>
      <family val="2"/>
      <scheme val="major"/>
    </font>
    <font>
      <b/>
      <sz val="8"/>
      <name val="Calibri Light"/>
      <family val="2"/>
      <scheme val="major"/>
    </font>
    <font>
      <sz val="8"/>
      <color indexed="8"/>
      <name val="Calibri Light"/>
      <family val="2"/>
      <scheme val="major"/>
    </font>
    <font>
      <i/>
      <sz val="8"/>
      <name val="Calibri Light"/>
      <family val="2"/>
      <scheme val="major"/>
    </font>
    <font>
      <sz val="10"/>
      <color rgb="FFFF0000"/>
      <name val="Calibri"/>
      <family val="2"/>
    </font>
    <font>
      <sz val="10"/>
      <name val="Calibri Light"/>
      <family val="2"/>
      <scheme val="major"/>
    </font>
    <font>
      <b/>
      <sz val="10"/>
      <name val="Calibri Light"/>
      <family val="2"/>
      <scheme val="major"/>
    </font>
    <font>
      <sz val="8"/>
      <color theme="1"/>
      <name val="Calibri"/>
      <family val="2"/>
    </font>
    <font>
      <sz val="8"/>
      <color theme="1" tint="0.499984740745262"/>
      <name val="Calibri"/>
      <family val="2"/>
    </font>
    <font>
      <sz val="10"/>
      <color theme="2" tint="-0.499984740745262"/>
      <name val="Calibri Light"/>
      <family val="2"/>
      <scheme val="major"/>
    </font>
    <font>
      <b/>
      <sz val="10"/>
      <color theme="2" tint="-0.499984740745262"/>
      <name val="Calibri"/>
      <family val="2"/>
    </font>
    <font>
      <sz val="8"/>
      <color theme="2" tint="-0.499984740745262"/>
      <name val="Calibri"/>
      <family val="2"/>
    </font>
    <font>
      <b/>
      <sz val="10"/>
      <color theme="1"/>
      <name val="Calibri Light"/>
      <family val="2"/>
      <scheme val="major"/>
    </font>
    <font>
      <b/>
      <sz val="18"/>
      <name val="Arial"/>
      <family val="2"/>
    </font>
    <font>
      <sz val="12"/>
      <color rgb="FF545454"/>
      <name val="Arial"/>
      <family val="2"/>
    </font>
    <font>
      <b/>
      <sz val="10"/>
      <color rgb="FFFF0000"/>
      <name val="Arial"/>
      <family val="2"/>
    </font>
    <font>
      <b/>
      <sz val="9"/>
      <color indexed="81"/>
      <name val="Segoe UI"/>
      <family val="2"/>
    </font>
    <font>
      <sz val="9"/>
      <color indexed="81"/>
      <name val="Segoe UI"/>
      <family val="2"/>
    </font>
    <font>
      <sz val="9"/>
      <name val="Arial"/>
      <family val="2"/>
    </font>
    <font>
      <sz val="9"/>
      <name val="Calibri Light"/>
      <family val="2"/>
      <scheme val="major"/>
    </font>
    <font>
      <b/>
      <sz val="9"/>
      <name val="Calibri Light"/>
      <family val="2"/>
      <scheme val="major"/>
    </font>
    <font>
      <sz val="10"/>
      <color theme="0"/>
      <name val="Calibri Light"/>
      <family val="2"/>
      <scheme val="major"/>
    </font>
    <font>
      <b/>
      <sz val="10"/>
      <color theme="0"/>
      <name val="Calibri Light"/>
      <family val="2"/>
      <scheme val="major"/>
    </font>
    <font>
      <sz val="9"/>
      <color indexed="81"/>
      <name val="Segoe UI"/>
      <charset val="1"/>
    </font>
    <font>
      <b/>
      <sz val="9"/>
      <color indexed="81"/>
      <name val="Segoe UI"/>
      <charset val="1"/>
    </font>
    <font>
      <sz val="11"/>
      <color theme="0"/>
      <name val="Calibri"/>
      <family val="2"/>
      <scheme val="minor"/>
    </font>
    <font>
      <sz val="10"/>
      <color theme="8"/>
      <name val="Arial"/>
      <family val="2"/>
    </font>
  </fonts>
  <fills count="42">
    <fill>
      <patternFill patternType="none"/>
    </fill>
    <fill>
      <patternFill patternType="gray125"/>
    </fill>
    <fill>
      <patternFill patternType="solid">
        <fgColor indexed="44"/>
        <bgColor indexed="64"/>
      </patternFill>
    </fill>
    <fill>
      <patternFill patternType="solid">
        <fgColor indexed="46"/>
        <bgColor indexed="64"/>
      </patternFill>
    </fill>
    <fill>
      <patternFill patternType="solid">
        <fgColor indexed="51"/>
        <bgColor indexed="64"/>
      </patternFill>
    </fill>
    <fill>
      <patternFill patternType="solid">
        <fgColor indexed="11"/>
        <bgColor indexed="64"/>
      </patternFill>
    </fill>
    <fill>
      <patternFill patternType="solid">
        <fgColor indexed="9"/>
        <bgColor indexed="64"/>
      </patternFill>
    </fill>
    <fill>
      <patternFill patternType="solid">
        <fgColor indexed="47"/>
        <bgColor indexed="64"/>
      </patternFill>
    </fill>
    <fill>
      <patternFill patternType="solid">
        <fgColor indexed="23"/>
        <bgColor indexed="64"/>
      </patternFill>
    </fill>
    <fill>
      <patternFill patternType="solid">
        <fgColor indexed="17"/>
        <bgColor indexed="64"/>
      </patternFill>
    </fill>
    <fill>
      <patternFill patternType="solid">
        <fgColor indexed="42"/>
        <bgColor indexed="64"/>
      </patternFill>
    </fill>
    <fill>
      <patternFill patternType="solid">
        <fgColor indexed="22"/>
        <bgColor indexed="64"/>
      </patternFill>
    </fill>
    <fill>
      <patternFill patternType="solid">
        <fgColor indexed="58"/>
        <bgColor indexed="64"/>
      </patternFill>
    </fill>
    <fill>
      <patternFill patternType="solid">
        <fgColor indexed="43"/>
        <bgColor indexed="64"/>
      </patternFill>
    </fill>
    <fill>
      <patternFill patternType="solid">
        <fgColor rgb="FFFFC000"/>
        <bgColor indexed="64"/>
      </patternFill>
    </fill>
    <fill>
      <patternFill patternType="solid">
        <fgColor rgb="FFFFFF00"/>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2"/>
        <bgColor indexed="64"/>
      </patternFill>
    </fill>
    <fill>
      <patternFill patternType="solid">
        <fgColor rgb="FFFF0000"/>
        <bgColor indexed="64"/>
      </patternFill>
    </fill>
    <fill>
      <patternFill patternType="solid">
        <fgColor theme="4"/>
        <bgColor indexed="64"/>
      </patternFill>
    </fill>
    <fill>
      <patternFill patternType="solid">
        <fgColor theme="7"/>
        <bgColor indexed="64"/>
      </patternFill>
    </fill>
    <fill>
      <patternFill patternType="solid">
        <fgColor theme="5"/>
        <bgColor indexed="64"/>
      </patternFill>
    </fill>
    <fill>
      <patternFill patternType="solid">
        <fgColor theme="7" tint="-0.249977111117893"/>
        <bgColor indexed="64"/>
      </patternFill>
    </fill>
    <fill>
      <patternFill patternType="solid">
        <fgColor theme="1" tint="0.49998474074526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00B0F0"/>
        <bgColor indexed="64"/>
      </patternFill>
    </fill>
    <fill>
      <patternFill patternType="solid">
        <fgColor theme="0" tint="-9.9978637043366805E-2"/>
        <bgColor indexed="64"/>
      </patternFill>
    </fill>
    <fill>
      <patternFill patternType="solid">
        <fgColor rgb="FF92D050"/>
        <bgColor indexed="64"/>
      </patternFill>
    </fill>
    <fill>
      <patternFill patternType="solid">
        <fgColor rgb="FFFFFFFF"/>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1"/>
        <bgColor indexed="64"/>
      </patternFill>
    </fill>
    <fill>
      <patternFill patternType="solid">
        <fgColor theme="7" tint="0.59999389629810485"/>
        <bgColor indexed="64"/>
      </patternFill>
    </fill>
    <fill>
      <patternFill patternType="solid">
        <fgColor theme="8"/>
      </patternFill>
    </fill>
    <fill>
      <patternFill patternType="solid">
        <fgColor theme="9"/>
      </patternFill>
    </fill>
  </fills>
  <borders count="71">
    <border>
      <left/>
      <right/>
      <top/>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theme="9" tint="-0.24994659260841701"/>
      </left>
      <right/>
      <top style="double">
        <color theme="9" tint="-0.24994659260841701"/>
      </top>
      <bottom/>
      <diagonal/>
    </border>
    <border>
      <left/>
      <right style="double">
        <color theme="9" tint="-0.24994659260841701"/>
      </right>
      <top style="double">
        <color theme="9" tint="-0.24994659260841701"/>
      </top>
      <bottom/>
      <diagonal/>
    </border>
    <border>
      <left style="double">
        <color theme="9" tint="-0.24994659260841701"/>
      </left>
      <right/>
      <top/>
      <bottom/>
      <diagonal/>
    </border>
    <border>
      <left/>
      <right style="double">
        <color theme="9" tint="-0.24994659260841701"/>
      </right>
      <top/>
      <bottom/>
      <diagonal/>
    </border>
    <border>
      <left style="double">
        <color theme="9" tint="-0.24994659260841701"/>
      </left>
      <right/>
      <top/>
      <bottom style="medium">
        <color indexed="64"/>
      </bottom>
      <diagonal/>
    </border>
    <border>
      <left/>
      <right style="double">
        <color theme="9" tint="-0.24994659260841701"/>
      </right>
      <top/>
      <bottom style="medium">
        <color indexed="64"/>
      </bottom>
      <diagonal/>
    </border>
    <border>
      <left style="double">
        <color theme="9" tint="-0.24994659260841701"/>
      </left>
      <right style="medium">
        <color indexed="64"/>
      </right>
      <top style="medium">
        <color indexed="64"/>
      </top>
      <bottom style="medium">
        <color indexed="64"/>
      </bottom>
      <diagonal/>
    </border>
    <border>
      <left style="medium">
        <color indexed="64"/>
      </left>
      <right style="double">
        <color theme="9" tint="-0.24994659260841701"/>
      </right>
      <top style="medium">
        <color indexed="64"/>
      </top>
      <bottom style="medium">
        <color indexed="64"/>
      </bottom>
      <diagonal/>
    </border>
    <border>
      <left style="double">
        <color theme="9" tint="-0.24994659260841701"/>
      </left>
      <right style="medium">
        <color indexed="64"/>
      </right>
      <top style="medium">
        <color indexed="64"/>
      </top>
      <bottom style="double">
        <color theme="9" tint="-0.24994659260841701"/>
      </bottom>
      <diagonal/>
    </border>
    <border>
      <left style="medium">
        <color indexed="64"/>
      </left>
      <right style="double">
        <color theme="9" tint="-0.24994659260841701"/>
      </right>
      <top style="medium">
        <color indexed="64"/>
      </top>
      <bottom style="double">
        <color theme="9" tint="-0.24994659260841701"/>
      </bottom>
      <diagonal/>
    </border>
    <border>
      <left/>
      <right/>
      <top style="double">
        <color theme="9" tint="-0.24994659260841701"/>
      </top>
      <bottom/>
      <diagonal/>
    </border>
    <border>
      <left style="double">
        <color theme="9" tint="-0.24994659260841701"/>
      </left>
      <right/>
      <top/>
      <bottom style="double">
        <color theme="9" tint="-0.24994659260841701"/>
      </bottom>
      <diagonal/>
    </border>
    <border>
      <left/>
      <right/>
      <top/>
      <bottom style="double">
        <color theme="9" tint="-0.24994659260841701"/>
      </bottom>
      <diagonal/>
    </border>
    <border>
      <left/>
      <right style="double">
        <color theme="9" tint="-0.24994659260841701"/>
      </right>
      <top/>
      <bottom style="double">
        <color theme="9" tint="-0.24994659260841701"/>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top/>
      <bottom style="double">
        <color indexed="64"/>
      </bottom>
      <diagonal/>
    </border>
  </borders>
  <cellStyleXfs count="7">
    <xf numFmtId="0" fontId="0" fillId="0" borderId="0"/>
    <xf numFmtId="9" fontId="1" fillId="0" borderId="0" applyFont="0" applyFill="0" applyBorder="0" applyAlignment="0" applyProtection="0"/>
    <xf numFmtId="0" fontId="19" fillId="0" borderId="0"/>
    <xf numFmtId="164" fontId="1" fillId="0" borderId="0" applyFont="0" applyFill="0" applyBorder="0" applyAlignment="0" applyProtection="0"/>
    <xf numFmtId="0" fontId="46" fillId="40" borderId="0" applyNumberFormat="0" applyBorder="0" applyAlignment="0" applyProtection="0"/>
    <xf numFmtId="0" fontId="46" fillId="41" borderId="0" applyNumberFormat="0" applyBorder="0" applyAlignment="0" applyProtection="0"/>
    <xf numFmtId="164" fontId="1" fillId="0" borderId="0" applyFont="0" applyFill="0" applyBorder="0" applyAlignment="0" applyProtection="0"/>
  </cellStyleXfs>
  <cellXfs count="499">
    <xf numFmtId="0" fontId="0" fillId="0" borderId="0" xfId="0"/>
    <xf numFmtId="0" fontId="11" fillId="0" borderId="0" xfId="0" applyFont="1"/>
    <xf numFmtId="0" fontId="11" fillId="8" borderId="0" xfId="0" applyFont="1" applyFill="1"/>
    <xf numFmtId="167" fontId="11" fillId="2" borderId="13" xfId="0" applyNumberFormat="1" applyFont="1" applyFill="1" applyBorder="1" applyAlignment="1" applyProtection="1">
      <alignment horizontal="center"/>
      <protection locked="0"/>
    </xf>
    <xf numFmtId="167" fontId="11" fillId="2" borderId="14" xfId="0" applyNumberFormat="1" applyFont="1" applyFill="1" applyBorder="1" applyAlignment="1" applyProtection="1">
      <alignment horizontal="center"/>
      <protection locked="0"/>
    </xf>
    <xf numFmtId="184" fontId="11" fillId="2" borderId="12" xfId="0" applyNumberFormat="1" applyFont="1" applyFill="1" applyBorder="1" applyAlignment="1" applyProtection="1">
      <alignment horizontal="center"/>
      <protection locked="0"/>
    </xf>
    <xf numFmtId="0" fontId="11" fillId="2" borderId="12" xfId="0" applyFont="1" applyFill="1" applyBorder="1" applyAlignment="1" applyProtection="1">
      <alignment horizontal="center"/>
      <protection locked="0"/>
    </xf>
    <xf numFmtId="178" fontId="11" fillId="2" borderId="13" xfId="0" applyNumberFormat="1" applyFont="1" applyFill="1" applyBorder="1" applyAlignment="1" applyProtection="1">
      <alignment horizontal="center"/>
      <protection locked="0"/>
    </xf>
    <xf numFmtId="178" fontId="11" fillId="2" borderId="14" xfId="0" applyNumberFormat="1" applyFont="1" applyFill="1" applyBorder="1" applyAlignment="1" applyProtection="1">
      <alignment horizontal="center"/>
      <protection locked="0"/>
    </xf>
    <xf numFmtId="178" fontId="11" fillId="2" borderId="15" xfId="0" applyNumberFormat="1" applyFont="1" applyFill="1" applyBorder="1" applyAlignment="1" applyProtection="1">
      <alignment horizontal="center"/>
      <protection locked="0"/>
    </xf>
    <xf numFmtId="178" fontId="11" fillId="7" borderId="16" xfId="0" applyNumberFormat="1" applyFont="1" applyFill="1" applyBorder="1" applyAlignment="1">
      <alignment horizontal="center"/>
    </xf>
    <xf numFmtId="10" fontId="11" fillId="2" borderId="13" xfId="0" applyNumberFormat="1" applyFont="1" applyFill="1" applyBorder="1" applyAlignment="1" applyProtection="1">
      <alignment horizontal="center"/>
      <protection locked="0"/>
    </xf>
    <xf numFmtId="0" fontId="21" fillId="0" borderId="0" xfId="0" applyFont="1"/>
    <xf numFmtId="200" fontId="21" fillId="0" borderId="0" xfId="0" applyNumberFormat="1" applyFont="1"/>
    <xf numFmtId="0" fontId="21" fillId="16" borderId="0" xfId="0" applyFont="1" applyFill="1"/>
    <xf numFmtId="0" fontId="21" fillId="0" borderId="0" xfId="0" applyFont="1" applyAlignment="1">
      <alignment wrapText="1"/>
    </xf>
    <xf numFmtId="199" fontId="21" fillId="17" borderId="0" xfId="0" applyNumberFormat="1" applyFont="1" applyFill="1"/>
    <xf numFmtId="0" fontId="21" fillId="18" borderId="0" xfId="0" applyFont="1" applyFill="1" applyAlignment="1">
      <alignment horizontal="center"/>
    </xf>
    <xf numFmtId="0" fontId="21" fillId="0" borderId="0" xfId="0" applyFont="1" applyAlignment="1">
      <alignment horizontal="center"/>
    </xf>
    <xf numFmtId="164" fontId="21" fillId="0" borderId="0" xfId="3" applyFont="1" applyAlignment="1">
      <alignment horizontal="center"/>
    </xf>
    <xf numFmtId="0" fontId="21" fillId="0" borderId="0" xfId="3" applyNumberFormat="1" applyFont="1" applyAlignment="1">
      <alignment horizontal="center"/>
    </xf>
    <xf numFmtId="164" fontId="21" fillId="0" borderId="0" xfId="0" applyNumberFormat="1" applyFont="1" applyAlignment="1">
      <alignment horizontal="center"/>
    </xf>
    <xf numFmtId="0" fontId="22" fillId="0" borderId="0" xfId="0" applyFont="1"/>
    <xf numFmtId="0" fontId="23" fillId="0" borderId="1" xfId="2" applyFont="1" applyBorder="1"/>
    <xf numFmtId="49" fontId="21" fillId="0" borderId="0" xfId="0" applyNumberFormat="1" applyFont="1"/>
    <xf numFmtId="0" fontId="23" fillId="0" borderId="0" xfId="2" applyFont="1"/>
    <xf numFmtId="177" fontId="21" fillId="0" borderId="0" xfId="0" applyNumberFormat="1" applyFont="1"/>
    <xf numFmtId="174" fontId="21" fillId="0" borderId="0" xfId="0" applyNumberFormat="1" applyFont="1"/>
    <xf numFmtId="0" fontId="24" fillId="19" borderId="0" xfId="0" applyFont="1" applyFill="1"/>
    <xf numFmtId="10" fontId="24" fillId="19" borderId="0" xfId="1" applyNumberFormat="1" applyFont="1" applyFill="1"/>
    <xf numFmtId="196" fontId="21" fillId="0" borderId="0" xfId="0" applyNumberFormat="1" applyFont="1"/>
    <xf numFmtId="196" fontId="22" fillId="0" borderId="0" xfId="0" applyNumberFormat="1" applyFont="1"/>
    <xf numFmtId="197" fontId="21" fillId="0" borderId="0" xfId="0" applyNumberFormat="1" applyFont="1"/>
    <xf numFmtId="164" fontId="21" fillId="0" borderId="0" xfId="3" applyFont="1"/>
    <xf numFmtId="0" fontId="21" fillId="20" borderId="0" xfId="0" applyFont="1" applyFill="1"/>
    <xf numFmtId="0" fontId="21" fillId="20" borderId="0" xfId="0" applyFont="1" applyFill="1" applyAlignment="1">
      <alignment horizontal="center"/>
    </xf>
    <xf numFmtId="0" fontId="21" fillId="0" borderId="21" xfId="0" applyFont="1" applyBorder="1"/>
    <xf numFmtId="0" fontId="22" fillId="0" borderId="22" xfId="0" applyFont="1" applyBorder="1"/>
    <xf numFmtId="0" fontId="21" fillId="0" borderId="22" xfId="0" applyFont="1" applyBorder="1" applyAlignment="1">
      <alignment horizontal="center"/>
    </xf>
    <xf numFmtId="0" fontId="21" fillId="0" borderId="23" xfId="0" applyFont="1" applyBorder="1" applyAlignment="1">
      <alignment horizontal="center"/>
    </xf>
    <xf numFmtId="0" fontId="21" fillId="0" borderId="24" xfId="0" applyFont="1" applyBorder="1"/>
    <xf numFmtId="0" fontId="21" fillId="0" borderId="25" xfId="0" applyFont="1" applyBorder="1" applyAlignment="1">
      <alignment horizontal="center"/>
    </xf>
    <xf numFmtId="0" fontId="21" fillId="0" borderId="0" xfId="0" applyFont="1" applyAlignment="1">
      <alignment horizontal="center" wrapText="1"/>
    </xf>
    <xf numFmtId="172" fontId="21" fillId="0" borderId="0" xfId="0" applyNumberFormat="1" applyFont="1" applyAlignment="1">
      <alignment horizontal="center" wrapText="1"/>
    </xf>
    <xf numFmtId="0" fontId="21" fillId="0" borderId="25" xfId="0" applyFont="1" applyBorder="1" applyAlignment="1">
      <alignment horizontal="center" wrapText="1"/>
    </xf>
    <xf numFmtId="165" fontId="21" fillId="0" borderId="0" xfId="0" applyNumberFormat="1" applyFont="1" applyAlignment="1">
      <alignment horizontal="center"/>
    </xf>
    <xf numFmtId="4" fontId="21" fillId="0" borderId="0" xfId="0" applyNumberFormat="1" applyFont="1" applyAlignment="1">
      <alignment horizontal="center"/>
    </xf>
    <xf numFmtId="166" fontId="21" fillId="0" borderId="0" xfId="0" applyNumberFormat="1" applyFont="1" applyAlignment="1">
      <alignment horizontal="center"/>
    </xf>
    <xf numFmtId="167" fontId="21" fillId="0" borderId="0" xfId="0" applyNumberFormat="1" applyFont="1" applyAlignment="1">
      <alignment horizontal="center"/>
    </xf>
    <xf numFmtId="180" fontId="21" fillId="0" borderId="0" xfId="0" applyNumberFormat="1" applyFont="1" applyAlignment="1">
      <alignment horizontal="center"/>
    </xf>
    <xf numFmtId="168" fontId="21" fillId="0" borderId="0" xfId="0" applyNumberFormat="1" applyFont="1" applyAlignment="1">
      <alignment horizontal="center"/>
    </xf>
    <xf numFmtId="169" fontId="21" fillId="0" borderId="0" xfId="0" applyNumberFormat="1" applyFont="1" applyAlignment="1">
      <alignment horizontal="center"/>
    </xf>
    <xf numFmtId="170" fontId="21" fillId="0" borderId="0" xfId="0" applyNumberFormat="1" applyFont="1" applyAlignment="1">
      <alignment horizontal="center"/>
    </xf>
    <xf numFmtId="171" fontId="21" fillId="0" borderId="0" xfId="0" applyNumberFormat="1" applyFont="1" applyAlignment="1">
      <alignment horizontal="center"/>
    </xf>
    <xf numFmtId="181" fontId="21" fillId="0" borderId="0" xfId="0" applyNumberFormat="1" applyFont="1" applyAlignment="1">
      <alignment horizontal="center"/>
    </xf>
    <xf numFmtId="173" fontId="21" fillId="0" borderId="0" xfId="0" applyNumberFormat="1" applyFont="1" applyAlignment="1">
      <alignment horizontal="center"/>
    </xf>
    <xf numFmtId="173" fontId="21" fillId="0" borderId="25" xfId="0" applyNumberFormat="1" applyFont="1" applyBorder="1" applyAlignment="1">
      <alignment horizontal="center"/>
    </xf>
    <xf numFmtId="186" fontId="21" fillId="0" borderId="0" xfId="0" applyNumberFormat="1" applyFont="1" applyAlignment="1">
      <alignment horizontal="center"/>
    </xf>
    <xf numFmtId="185" fontId="21" fillId="0" borderId="0" xfId="0" applyNumberFormat="1" applyFont="1" applyAlignment="1">
      <alignment horizontal="center"/>
    </xf>
    <xf numFmtId="2" fontId="21" fillId="0" borderId="0" xfId="0" applyNumberFormat="1" applyFont="1" applyAlignment="1">
      <alignment horizontal="center"/>
    </xf>
    <xf numFmtId="0" fontId="21" fillId="0" borderId="26" xfId="0" applyFont="1" applyBorder="1"/>
    <xf numFmtId="0" fontId="21" fillId="0" borderId="27" xfId="0" applyFont="1" applyBorder="1"/>
    <xf numFmtId="0" fontId="21" fillId="0" borderId="27" xfId="0" applyFont="1" applyBorder="1" applyAlignment="1">
      <alignment horizontal="center"/>
    </xf>
    <xf numFmtId="0" fontId="21" fillId="0" borderId="28" xfId="0" applyFont="1" applyBorder="1" applyAlignment="1">
      <alignment horizontal="center"/>
    </xf>
    <xf numFmtId="179" fontId="21" fillId="0" borderId="0" xfId="0" applyNumberFormat="1" applyFont="1" applyAlignment="1">
      <alignment horizontal="center"/>
    </xf>
    <xf numFmtId="183" fontId="21" fillId="0" borderId="27" xfId="0" applyNumberFormat="1" applyFont="1" applyBorder="1" applyAlignment="1">
      <alignment horizontal="center"/>
    </xf>
    <xf numFmtId="2" fontId="21" fillId="0" borderId="27" xfId="0" applyNumberFormat="1" applyFont="1" applyBorder="1" applyAlignment="1">
      <alignment horizontal="center"/>
    </xf>
    <xf numFmtId="0" fontId="21" fillId="0" borderId="24" xfId="0" applyFont="1" applyBorder="1" applyAlignment="1">
      <alignment wrapText="1"/>
    </xf>
    <xf numFmtId="200" fontId="21" fillId="0" borderId="0" xfId="0" applyNumberFormat="1" applyFont="1" applyAlignment="1">
      <alignment horizontal="center"/>
    </xf>
    <xf numFmtId="199" fontId="21" fillId="0" borderId="0" xfId="0" applyNumberFormat="1" applyFont="1" applyAlignment="1">
      <alignment horizontal="center"/>
    </xf>
    <xf numFmtId="199" fontId="21" fillId="0" borderId="25" xfId="0" applyNumberFormat="1" applyFont="1" applyBorder="1" applyAlignment="1">
      <alignment horizontal="center"/>
    </xf>
    <xf numFmtId="202" fontId="21" fillId="0" borderId="0" xfId="0" applyNumberFormat="1" applyFont="1" applyAlignment="1">
      <alignment horizontal="center"/>
    </xf>
    <xf numFmtId="201" fontId="21" fillId="0" borderId="0" xfId="0" applyNumberFormat="1" applyFont="1" applyAlignment="1">
      <alignment horizontal="center"/>
    </xf>
    <xf numFmtId="0" fontId="21" fillId="21" borderId="0" xfId="0" applyFont="1" applyFill="1"/>
    <xf numFmtId="0" fontId="22" fillId="21" borderId="0" xfId="0" applyFont="1" applyFill="1" applyAlignment="1">
      <alignment horizontal="center" wrapText="1"/>
    </xf>
    <xf numFmtId="203" fontId="21" fillId="0" borderId="0" xfId="0" applyNumberFormat="1" applyFont="1" applyAlignment="1">
      <alignment horizontal="center"/>
    </xf>
    <xf numFmtId="198" fontId="21" fillId="0" borderId="0" xfId="0" applyNumberFormat="1" applyFont="1" applyAlignment="1">
      <alignment horizontal="center"/>
    </xf>
    <xf numFmtId="203" fontId="22" fillId="0" borderId="0" xfId="0" applyNumberFormat="1" applyFont="1" applyAlignment="1">
      <alignment horizontal="center"/>
    </xf>
    <xf numFmtId="0" fontId="21" fillId="22" borderId="0" xfId="0" applyFont="1" applyFill="1"/>
    <xf numFmtId="0" fontId="21" fillId="22" borderId="0" xfId="0" applyFont="1" applyFill="1" applyAlignment="1">
      <alignment horizontal="center"/>
    </xf>
    <xf numFmtId="198" fontId="22" fillId="0" borderId="0" xfId="0" applyNumberFormat="1" applyFont="1" applyAlignment="1">
      <alignment horizontal="center"/>
    </xf>
    <xf numFmtId="0" fontId="21" fillId="19" borderId="0" xfId="0" applyFont="1" applyFill="1"/>
    <xf numFmtId="0" fontId="21" fillId="19" borderId="0" xfId="0" applyFont="1" applyFill="1" applyAlignment="1">
      <alignment horizontal="center"/>
    </xf>
    <xf numFmtId="205" fontId="21" fillId="0" borderId="0" xfId="0" applyNumberFormat="1" applyFont="1" applyAlignment="1">
      <alignment horizontal="center"/>
    </xf>
    <xf numFmtId="173" fontId="22" fillId="0" borderId="0" xfId="0" applyNumberFormat="1" applyFont="1" applyAlignment="1">
      <alignment horizontal="center"/>
    </xf>
    <xf numFmtId="204" fontId="21" fillId="0" borderId="0" xfId="0" applyNumberFormat="1" applyFont="1" applyAlignment="1">
      <alignment horizontal="center"/>
    </xf>
    <xf numFmtId="0" fontId="21" fillId="0" borderId="0" xfId="0" applyFont="1" applyAlignment="1">
      <alignment horizontal="right"/>
    </xf>
    <xf numFmtId="0" fontId="21" fillId="23" borderId="0" xfId="0" applyFont="1" applyFill="1"/>
    <xf numFmtId="0" fontId="21" fillId="23" borderId="0" xfId="0" applyFont="1" applyFill="1" applyAlignment="1">
      <alignment horizontal="center"/>
    </xf>
    <xf numFmtId="0" fontId="22" fillId="0" borderId="0" xfId="0" applyFont="1" applyAlignment="1">
      <alignment horizontal="center"/>
    </xf>
    <xf numFmtId="10" fontId="21" fillId="0" borderId="0" xfId="1" applyNumberFormat="1" applyFont="1" applyAlignment="1">
      <alignment horizontal="center"/>
    </xf>
    <xf numFmtId="192" fontId="21" fillId="0" borderId="0" xfId="0" applyNumberFormat="1" applyFont="1" applyAlignment="1">
      <alignment horizontal="center"/>
    </xf>
    <xf numFmtId="193" fontId="21" fillId="0" borderId="0" xfId="0" applyNumberFormat="1" applyFont="1" applyAlignment="1">
      <alignment horizontal="center"/>
    </xf>
    <xf numFmtId="194" fontId="21" fillId="15" borderId="0" xfId="0" applyNumberFormat="1" applyFont="1" applyFill="1" applyAlignment="1">
      <alignment horizontal="center"/>
    </xf>
    <xf numFmtId="0" fontId="11" fillId="24" borderId="0" xfId="0" applyFont="1" applyFill="1"/>
    <xf numFmtId="2" fontId="21" fillId="0" borderId="0" xfId="0" applyNumberFormat="1" applyFont="1"/>
    <xf numFmtId="167" fontId="11" fillId="24" borderId="0" xfId="0" applyNumberFormat="1" applyFont="1" applyFill="1"/>
    <xf numFmtId="14" fontId="21" fillId="0" borderId="0" xfId="0" applyNumberFormat="1" applyFont="1"/>
    <xf numFmtId="173" fontId="11" fillId="15" borderId="12" xfId="0" applyNumberFormat="1" applyFont="1" applyFill="1" applyBorder="1" applyAlignment="1" applyProtection="1">
      <alignment horizontal="center"/>
      <protection locked="0"/>
    </xf>
    <xf numFmtId="209" fontId="21" fillId="0" borderId="0" xfId="0" applyNumberFormat="1" applyFont="1" applyAlignment="1">
      <alignment horizontal="center"/>
    </xf>
    <xf numFmtId="194" fontId="11" fillId="28" borderId="13" xfId="0" applyNumberFormat="1" applyFont="1" applyFill="1" applyBorder="1" applyAlignment="1" applyProtection="1">
      <alignment horizontal="center"/>
      <protection locked="0"/>
    </xf>
    <xf numFmtId="188" fontId="11" fillId="10" borderId="14" xfId="0" applyNumberFormat="1" applyFont="1" applyFill="1" applyBorder="1" applyAlignment="1" applyProtection="1">
      <alignment horizontal="center"/>
      <protection locked="0"/>
    </xf>
    <xf numFmtId="0" fontId="26" fillId="0" borderId="0" xfId="0" applyFont="1"/>
    <xf numFmtId="0" fontId="26" fillId="0" borderId="0" xfId="0" applyFont="1" applyAlignment="1">
      <alignment horizontal="center"/>
    </xf>
    <xf numFmtId="211" fontId="26" fillId="0" borderId="0" xfId="0" applyNumberFormat="1" applyFont="1" applyAlignment="1">
      <alignment horizontal="center"/>
    </xf>
    <xf numFmtId="14" fontId="26" fillId="0" borderId="0" xfId="0" applyNumberFormat="1" applyFont="1"/>
    <xf numFmtId="212" fontId="27" fillId="0" borderId="0" xfId="0" applyNumberFormat="1" applyFont="1" applyAlignment="1">
      <alignment horizontal="center"/>
    </xf>
    <xf numFmtId="189" fontId="27" fillId="0" borderId="0" xfId="0" applyNumberFormat="1" applyFont="1" applyAlignment="1">
      <alignment horizontal="center"/>
    </xf>
    <xf numFmtId="194" fontId="27" fillId="0" borderId="0" xfId="0" applyNumberFormat="1" applyFont="1" applyAlignment="1">
      <alignment horizontal="center"/>
    </xf>
    <xf numFmtId="0" fontId="27" fillId="0" borderId="0" xfId="0" applyFont="1" applyAlignment="1">
      <alignment horizontal="center"/>
    </xf>
    <xf numFmtId="1" fontId="27" fillId="0" borderId="0" xfId="0" applyNumberFormat="1" applyFont="1" applyAlignment="1">
      <alignment horizontal="center"/>
    </xf>
    <xf numFmtId="0" fontId="11" fillId="6" borderId="5" xfId="0" applyFont="1" applyFill="1" applyBorder="1"/>
    <xf numFmtId="167" fontId="11" fillId="8" borderId="0" xfId="0" applyNumberFormat="1" applyFont="1" applyFill="1"/>
    <xf numFmtId="0" fontId="11" fillId="6" borderId="6" xfId="0" applyFont="1" applyFill="1" applyBorder="1"/>
    <xf numFmtId="170" fontId="20" fillId="8" borderId="0" xfId="0" applyNumberFormat="1" applyFont="1" applyFill="1" applyAlignment="1">
      <alignment horizontal="center"/>
    </xf>
    <xf numFmtId="0" fontId="11" fillId="6" borderId="7" xfId="0" applyFont="1" applyFill="1" applyBorder="1"/>
    <xf numFmtId="0" fontId="11" fillId="7" borderId="2" xfId="0" applyFont="1" applyFill="1" applyBorder="1" applyAlignment="1">
      <alignment horizontal="center"/>
    </xf>
    <xf numFmtId="182" fontId="11" fillId="8" borderId="0" xfId="1" applyNumberFormat="1" applyFont="1" applyFill="1"/>
    <xf numFmtId="206" fontId="11" fillId="17" borderId="2" xfId="0" applyNumberFormat="1" applyFont="1" applyFill="1" applyBorder="1" applyAlignment="1">
      <alignment horizontal="center"/>
    </xf>
    <xf numFmtId="195" fontId="20" fillId="8" borderId="0" xfId="0" applyNumberFormat="1" applyFont="1" applyFill="1" applyAlignment="1">
      <alignment horizontal="center" vertical="center"/>
    </xf>
    <xf numFmtId="0" fontId="11" fillId="10" borderId="7" xfId="0" applyFont="1" applyFill="1" applyBorder="1" applyAlignment="1">
      <alignment horizontal="center"/>
    </xf>
    <xf numFmtId="0" fontId="11" fillId="10" borderId="20" xfId="0" applyFont="1" applyFill="1" applyBorder="1" applyAlignment="1">
      <alignment horizontal="center"/>
    </xf>
    <xf numFmtId="0" fontId="11" fillId="10" borderId="12" xfId="0" applyFont="1" applyFill="1" applyBorder="1" applyAlignment="1">
      <alignment horizontal="center"/>
    </xf>
    <xf numFmtId="0" fontId="12" fillId="26" borderId="2" xfId="0" applyFont="1" applyFill="1" applyBorder="1" applyAlignment="1">
      <alignment horizontal="center"/>
    </xf>
    <xf numFmtId="9" fontId="11" fillId="29" borderId="2" xfId="1" applyFont="1" applyFill="1" applyBorder="1" applyAlignment="1">
      <alignment horizontal="center"/>
    </xf>
    <xf numFmtId="0" fontId="14" fillId="24" borderId="0" xfId="0" applyFont="1" applyFill="1" applyAlignment="1">
      <alignment horizontal="center"/>
    </xf>
    <xf numFmtId="0" fontId="16" fillId="6" borderId="29" xfId="0" applyFont="1" applyFill="1" applyBorder="1" applyAlignment="1">
      <alignment horizontal="center"/>
    </xf>
    <xf numFmtId="0" fontId="13" fillId="24" borderId="0" xfId="0" applyFont="1" applyFill="1" applyAlignment="1">
      <alignment horizontal="center"/>
    </xf>
    <xf numFmtId="167" fontId="13" fillId="24" borderId="0" xfId="0" applyNumberFormat="1" applyFont="1" applyFill="1" applyAlignment="1">
      <alignment horizontal="center"/>
    </xf>
    <xf numFmtId="0" fontId="11" fillId="6" borderId="0" xfId="0" applyFont="1" applyFill="1"/>
    <xf numFmtId="173" fontId="11" fillId="6" borderId="0" xfId="0" applyNumberFormat="1" applyFont="1" applyFill="1" applyAlignment="1">
      <alignment horizontal="center"/>
    </xf>
    <xf numFmtId="0" fontId="11" fillId="6" borderId="39" xfId="0" applyFont="1" applyFill="1" applyBorder="1"/>
    <xf numFmtId="173" fontId="11" fillId="6" borderId="39" xfId="0" applyNumberFormat="1" applyFont="1" applyFill="1" applyBorder="1" applyAlignment="1">
      <alignment horizontal="center"/>
    </xf>
    <xf numFmtId="0" fontId="11" fillId="24" borderId="5" xfId="0" applyFont="1" applyFill="1" applyBorder="1"/>
    <xf numFmtId="0" fontId="11" fillId="24" borderId="13" xfId="0" applyFont="1" applyFill="1" applyBorder="1"/>
    <xf numFmtId="0" fontId="11" fillId="24" borderId="0" xfId="0" applyFont="1" applyFill="1" applyAlignment="1">
      <alignment horizontal="center"/>
    </xf>
    <xf numFmtId="0" fontId="11" fillId="8" borderId="0" xfId="0" applyFont="1" applyFill="1" applyAlignment="1">
      <alignment horizontal="center"/>
    </xf>
    <xf numFmtId="0" fontId="12" fillId="7" borderId="7" xfId="0" applyFont="1" applyFill="1" applyBorder="1"/>
    <xf numFmtId="0" fontId="11" fillId="10" borderId="2" xfId="0" applyFont="1" applyFill="1" applyBorder="1" applyAlignment="1">
      <alignment horizontal="center"/>
    </xf>
    <xf numFmtId="0" fontId="11" fillId="8" borderId="10" xfId="0" applyFont="1" applyFill="1" applyBorder="1"/>
    <xf numFmtId="0" fontId="11" fillId="8" borderId="11" xfId="0" applyFont="1" applyFill="1" applyBorder="1"/>
    <xf numFmtId="189" fontId="11" fillId="8" borderId="11" xfId="0" applyNumberFormat="1" applyFont="1" applyFill="1" applyBorder="1" applyAlignment="1">
      <alignment horizontal="center"/>
    </xf>
    <xf numFmtId="189" fontId="11" fillId="8" borderId="0" xfId="0" applyNumberFormat="1" applyFont="1" applyFill="1" applyAlignment="1">
      <alignment horizontal="center"/>
    </xf>
    <xf numFmtId="0" fontId="11" fillId="7" borderId="5" xfId="0" applyFont="1" applyFill="1" applyBorder="1"/>
    <xf numFmtId="173" fontId="11" fillId="11" borderId="15" xfId="0" applyNumberFormat="1" applyFont="1" applyFill="1" applyBorder="1" applyAlignment="1">
      <alignment horizontal="center"/>
    </xf>
    <xf numFmtId="189" fontId="11" fillId="10" borderId="15" xfId="0" applyNumberFormat="1" applyFont="1" applyFill="1" applyBorder="1" applyAlignment="1">
      <alignment horizontal="center"/>
    </xf>
    <xf numFmtId="207" fontId="11" fillId="11" borderId="15" xfId="0" applyNumberFormat="1" applyFont="1" applyFill="1" applyBorder="1" applyAlignment="1">
      <alignment horizontal="center"/>
    </xf>
    <xf numFmtId="0" fontId="11" fillId="7" borderId="9" xfId="0" applyFont="1" applyFill="1" applyBorder="1"/>
    <xf numFmtId="173" fontId="11" fillId="11" borderId="17" xfId="0" applyNumberFormat="1" applyFont="1" applyFill="1" applyBorder="1" applyAlignment="1">
      <alignment horizontal="center"/>
    </xf>
    <xf numFmtId="207" fontId="11" fillId="11" borderId="17" xfId="0" applyNumberFormat="1" applyFont="1" applyFill="1" applyBorder="1" applyAlignment="1">
      <alignment horizontal="center"/>
    </xf>
    <xf numFmtId="0" fontId="14" fillId="7" borderId="18" xfId="0" applyFont="1" applyFill="1" applyBorder="1"/>
    <xf numFmtId="173" fontId="14" fillId="11" borderId="19" xfId="0" applyNumberFormat="1" applyFont="1" applyFill="1" applyBorder="1" applyAlignment="1">
      <alignment horizontal="center"/>
    </xf>
    <xf numFmtId="189" fontId="13" fillId="10" borderId="19" xfId="0" applyNumberFormat="1" applyFont="1" applyFill="1" applyBorder="1" applyAlignment="1">
      <alignment horizontal="center"/>
    </xf>
    <xf numFmtId="189" fontId="13" fillId="8" borderId="0" xfId="0" applyNumberFormat="1" applyFont="1" applyFill="1" applyAlignment="1">
      <alignment horizontal="center"/>
    </xf>
    <xf numFmtId="207" fontId="14" fillId="11" borderId="19" xfId="0" applyNumberFormat="1" applyFont="1" applyFill="1" applyBorder="1" applyAlignment="1">
      <alignment horizontal="center"/>
    </xf>
    <xf numFmtId="173" fontId="11" fillId="24" borderId="13" xfId="0" applyNumberFormat="1" applyFont="1" applyFill="1" applyBorder="1"/>
    <xf numFmtId="0" fontId="14" fillId="7" borderId="34" xfId="0" applyFont="1" applyFill="1" applyBorder="1"/>
    <xf numFmtId="173" fontId="14" fillId="11" borderId="33" xfId="0" applyNumberFormat="1" applyFont="1" applyFill="1" applyBorder="1" applyAlignment="1">
      <alignment horizontal="center"/>
    </xf>
    <xf numFmtId="189" fontId="13" fillId="10" borderId="16" xfId="0" applyNumberFormat="1" applyFont="1" applyFill="1" applyBorder="1" applyAlignment="1">
      <alignment horizontal="center"/>
    </xf>
    <xf numFmtId="207" fontId="14" fillId="11" borderId="33" xfId="0" applyNumberFormat="1" applyFont="1" applyFill="1" applyBorder="1" applyAlignment="1">
      <alignment horizontal="center"/>
    </xf>
    <xf numFmtId="0" fontId="14" fillId="7" borderId="5" xfId="0" applyFont="1" applyFill="1" applyBorder="1"/>
    <xf numFmtId="173" fontId="14" fillId="11" borderId="15" xfId="0" applyNumberFormat="1" applyFont="1" applyFill="1" applyBorder="1" applyAlignment="1">
      <alignment horizontal="center"/>
    </xf>
    <xf numFmtId="189" fontId="13" fillId="10" borderId="15" xfId="0" applyNumberFormat="1" applyFont="1" applyFill="1" applyBorder="1" applyAlignment="1">
      <alignment horizontal="center"/>
    </xf>
    <xf numFmtId="182" fontId="13" fillId="8" borderId="0" xfId="1" applyNumberFormat="1" applyFont="1" applyFill="1" applyAlignment="1">
      <alignment horizontal="center"/>
    </xf>
    <xf numFmtId="207" fontId="14" fillId="11" borderId="15" xfId="0" applyNumberFormat="1" applyFont="1" applyFill="1" applyBorder="1" applyAlignment="1">
      <alignment horizontal="center"/>
    </xf>
    <xf numFmtId="10" fontId="14" fillId="11" borderId="15" xfId="1" applyNumberFormat="1" applyFont="1" applyFill="1" applyBorder="1" applyAlignment="1">
      <alignment horizontal="center"/>
    </xf>
    <xf numFmtId="10" fontId="13" fillId="10" borderId="16" xfId="1" applyNumberFormat="1" applyFont="1" applyFill="1" applyBorder="1" applyAlignment="1">
      <alignment horizontal="center"/>
    </xf>
    <xf numFmtId="189" fontId="11" fillId="8" borderId="15" xfId="0" applyNumberFormat="1" applyFont="1" applyFill="1" applyBorder="1" applyAlignment="1">
      <alignment horizontal="center"/>
    </xf>
    <xf numFmtId="207" fontId="11" fillId="8" borderId="11" xfId="0" applyNumberFormat="1" applyFont="1" applyFill="1" applyBorder="1"/>
    <xf numFmtId="10" fontId="11" fillId="24" borderId="5" xfId="1" applyNumberFormat="1" applyFont="1" applyFill="1" applyBorder="1"/>
    <xf numFmtId="10" fontId="11" fillId="24" borderId="13" xfId="1" applyNumberFormat="1" applyFont="1" applyFill="1" applyBorder="1"/>
    <xf numFmtId="0" fontId="14" fillId="13" borderId="7" xfId="0" applyFont="1" applyFill="1" applyBorder="1"/>
    <xf numFmtId="173" fontId="14" fillId="5" borderId="2" xfId="0" applyNumberFormat="1" applyFont="1" applyFill="1" applyBorder="1" applyAlignment="1">
      <alignment horizontal="center"/>
    </xf>
    <xf numFmtId="189" fontId="11" fillId="14" borderId="2" xfId="0" applyNumberFormat="1" applyFont="1" applyFill="1" applyBorder="1" applyAlignment="1">
      <alignment horizontal="center"/>
    </xf>
    <xf numFmtId="207" fontId="14" fillId="5" borderId="2" xfId="0" applyNumberFormat="1" applyFont="1" applyFill="1" applyBorder="1" applyAlignment="1">
      <alignment horizontal="center"/>
    </xf>
    <xf numFmtId="0" fontId="11" fillId="7" borderId="10" xfId="0" applyFont="1" applyFill="1" applyBorder="1"/>
    <xf numFmtId="173" fontId="11" fillId="11" borderId="11" xfId="0" applyNumberFormat="1" applyFont="1" applyFill="1" applyBorder="1" applyAlignment="1">
      <alignment horizontal="center"/>
    </xf>
    <xf numFmtId="189" fontId="11" fillId="10" borderId="16" xfId="0" applyNumberFormat="1" applyFont="1" applyFill="1" applyBorder="1" applyAlignment="1">
      <alignment horizontal="center"/>
    </xf>
    <xf numFmtId="207" fontId="11" fillId="11" borderId="11" xfId="0" applyNumberFormat="1" applyFont="1" applyFill="1" applyBorder="1" applyAlignment="1">
      <alignment horizontal="center"/>
    </xf>
    <xf numFmtId="189" fontId="11" fillId="14" borderId="16" xfId="0" applyNumberFormat="1" applyFont="1" applyFill="1" applyBorder="1" applyAlignment="1">
      <alignment horizontal="center"/>
    </xf>
    <xf numFmtId="0" fontId="11" fillId="8" borderId="5" xfId="0" applyFont="1" applyFill="1" applyBorder="1"/>
    <xf numFmtId="0" fontId="11" fillId="8" borderId="15" xfId="0" applyFont="1" applyFill="1" applyBorder="1"/>
    <xf numFmtId="207" fontId="11" fillId="8" borderId="15" xfId="0" applyNumberFormat="1" applyFont="1" applyFill="1" applyBorder="1"/>
    <xf numFmtId="0" fontId="12" fillId="7" borderId="2" xfId="0" applyFont="1" applyFill="1" applyBorder="1"/>
    <xf numFmtId="173" fontId="12" fillId="15" borderId="2" xfId="0" applyNumberFormat="1" applyFont="1" applyFill="1" applyBorder="1" applyAlignment="1">
      <alignment horizontal="center"/>
    </xf>
    <xf numFmtId="189" fontId="12" fillId="15" borderId="2" xfId="0" applyNumberFormat="1" applyFont="1" applyFill="1" applyBorder="1" applyAlignment="1">
      <alignment horizontal="center"/>
    </xf>
    <xf numFmtId="207" fontId="12" fillId="15" borderId="2" xfId="0" applyNumberFormat="1" applyFont="1" applyFill="1" applyBorder="1" applyAlignment="1">
      <alignment horizontal="center"/>
    </xf>
    <xf numFmtId="189" fontId="11" fillId="10" borderId="11" xfId="0" applyNumberFormat="1" applyFont="1" applyFill="1" applyBorder="1" applyAlignment="1">
      <alignment horizontal="center"/>
    </xf>
    <xf numFmtId="10" fontId="11" fillId="24" borderId="6" xfId="1" applyNumberFormat="1" applyFont="1" applyFill="1" applyBorder="1"/>
    <xf numFmtId="10" fontId="11" fillId="24" borderId="14" xfId="1" applyNumberFormat="1" applyFont="1" applyFill="1" applyBorder="1"/>
    <xf numFmtId="0" fontId="15" fillId="9" borderId="7" xfId="0" applyFont="1" applyFill="1" applyBorder="1"/>
    <xf numFmtId="173" fontId="15" fillId="12" borderId="2" xfId="0" applyNumberFormat="1" applyFont="1" applyFill="1" applyBorder="1" applyAlignment="1">
      <alignment horizontal="center"/>
    </xf>
    <xf numFmtId="189" fontId="11" fillId="10" borderId="2" xfId="0" applyNumberFormat="1" applyFont="1" applyFill="1" applyBorder="1" applyAlignment="1">
      <alignment horizontal="center"/>
    </xf>
    <xf numFmtId="207" fontId="15" fillId="12" borderId="2" xfId="0" applyNumberFormat="1" applyFont="1" applyFill="1" applyBorder="1" applyAlignment="1">
      <alignment horizontal="center"/>
    </xf>
    <xf numFmtId="0" fontId="11" fillId="8" borderId="7" xfId="0" applyFont="1" applyFill="1" applyBorder="1"/>
    <xf numFmtId="195" fontId="20" fillId="8" borderId="12" xfId="0" applyNumberFormat="1" applyFont="1" applyFill="1" applyBorder="1" applyAlignment="1">
      <alignment horizontal="center" vertical="center"/>
    </xf>
    <xf numFmtId="189" fontId="11" fillId="8" borderId="2" xfId="0" applyNumberFormat="1" applyFont="1" applyFill="1" applyBorder="1" applyAlignment="1">
      <alignment horizontal="center"/>
    </xf>
    <xf numFmtId="195" fontId="20" fillId="8" borderId="2" xfId="0" applyNumberFormat="1" applyFont="1" applyFill="1" applyBorder="1" applyAlignment="1">
      <alignment horizontal="center" vertical="center"/>
    </xf>
    <xf numFmtId="173" fontId="11" fillId="0" borderId="11" xfId="0" applyNumberFormat="1" applyFont="1" applyBorder="1" applyAlignment="1">
      <alignment horizontal="center"/>
    </xf>
    <xf numFmtId="190" fontId="11" fillId="0" borderId="15" xfId="0" applyNumberFormat="1" applyFont="1" applyBorder="1" applyAlignment="1">
      <alignment horizontal="center"/>
    </xf>
    <xf numFmtId="190" fontId="11" fillId="8" borderId="0" xfId="0" applyNumberFormat="1" applyFont="1" applyFill="1" applyAlignment="1">
      <alignment horizontal="center"/>
    </xf>
    <xf numFmtId="173" fontId="11" fillId="0" borderId="15" xfId="0" applyNumberFormat="1" applyFont="1" applyBorder="1" applyAlignment="1">
      <alignment horizontal="center"/>
    </xf>
    <xf numFmtId="10" fontId="11" fillId="0" borderId="15" xfId="1" applyNumberFormat="1" applyFont="1" applyBorder="1" applyAlignment="1">
      <alignment horizontal="center"/>
    </xf>
    <xf numFmtId="10" fontId="11" fillId="8" borderId="0" xfId="0" applyNumberFormat="1" applyFont="1" applyFill="1"/>
    <xf numFmtId="10" fontId="11" fillId="8" borderId="0" xfId="1" applyNumberFormat="1" applyFont="1" applyFill="1" applyAlignment="1">
      <alignment horizontal="center"/>
    </xf>
    <xf numFmtId="10" fontId="11" fillId="8" borderId="0" xfId="0" applyNumberFormat="1" applyFont="1" applyFill="1" applyAlignment="1">
      <alignment horizontal="center"/>
    </xf>
    <xf numFmtId="0" fontId="11" fillId="7" borderId="6" xfId="0" applyFont="1" applyFill="1" applyBorder="1"/>
    <xf numFmtId="187" fontId="11" fillId="0" borderId="16" xfId="1" applyNumberFormat="1" applyFont="1" applyBorder="1" applyAlignment="1">
      <alignment horizontal="center"/>
    </xf>
    <xf numFmtId="191" fontId="11" fillId="0" borderId="16" xfId="1" applyNumberFormat="1" applyFont="1" applyBorder="1" applyAlignment="1">
      <alignment horizontal="center"/>
    </xf>
    <xf numFmtId="191" fontId="11" fillId="8" borderId="0" xfId="1" applyNumberFormat="1" applyFont="1" applyFill="1" applyAlignment="1">
      <alignment horizontal="center"/>
    </xf>
    <xf numFmtId="0" fontId="11" fillId="7" borderId="7" xfId="0" applyFont="1" applyFill="1" applyBorder="1"/>
    <xf numFmtId="210" fontId="11" fillId="0" borderId="2" xfId="1" applyNumberFormat="1" applyFont="1" applyBorder="1" applyAlignment="1">
      <alignment horizontal="center"/>
    </xf>
    <xf numFmtId="49" fontId="6" fillId="2" borderId="0" xfId="0" applyNumberFormat="1" applyFont="1" applyFill="1"/>
    <xf numFmtId="0" fontId="6" fillId="0" borderId="0" xfId="0" applyFont="1"/>
    <xf numFmtId="49" fontId="3" fillId="2" borderId="0" xfId="0" applyNumberFormat="1" applyFont="1" applyFill="1"/>
    <xf numFmtId="49" fontId="0" fillId="2" borderId="0" xfId="0" applyNumberFormat="1" applyFill="1"/>
    <xf numFmtId="49" fontId="0" fillId="0" borderId="0" xfId="0" applyNumberFormat="1"/>
    <xf numFmtId="49" fontId="7" fillId="0" borderId="0" xfId="0" applyNumberFormat="1" applyFont="1"/>
    <xf numFmtId="49" fontId="3" fillId="0" borderId="0" xfId="0" applyNumberFormat="1" applyFont="1"/>
    <xf numFmtId="49" fontId="3" fillId="0" borderId="0" xfId="0" applyNumberFormat="1" applyFont="1" applyAlignment="1">
      <alignment horizontal="center"/>
    </xf>
    <xf numFmtId="49" fontId="3" fillId="0" borderId="0" xfId="0" applyNumberFormat="1" applyFont="1" applyAlignment="1">
      <alignment horizontal="left"/>
    </xf>
    <xf numFmtId="0" fontId="2" fillId="0" borderId="0" xfId="0" applyFont="1" applyAlignment="1">
      <alignment horizontal="center"/>
    </xf>
    <xf numFmtId="49" fontId="0" fillId="0" borderId="0" xfId="0" applyNumberFormat="1" applyAlignment="1">
      <alignment horizontal="center"/>
    </xf>
    <xf numFmtId="0" fontId="3" fillId="3" borderId="0" xfId="0" applyFont="1" applyFill="1"/>
    <xf numFmtId="0" fontId="0" fillId="0" borderId="0" xfId="0" applyAlignment="1">
      <alignment horizontal="right"/>
    </xf>
    <xf numFmtId="2" fontId="0" fillId="4" borderId="0" xfId="0" applyNumberFormat="1" applyFill="1" applyAlignment="1">
      <alignment horizontal="center"/>
    </xf>
    <xf numFmtId="2" fontId="0" fillId="0" borderId="0" xfId="0" applyNumberFormat="1" applyAlignment="1">
      <alignment horizontal="center"/>
    </xf>
    <xf numFmtId="2" fontId="0" fillId="3" borderId="2" xfId="0" applyNumberFormat="1" applyFill="1" applyBorder="1"/>
    <xf numFmtId="176" fontId="0" fillId="3" borderId="0" xfId="0" applyNumberFormat="1" applyFill="1"/>
    <xf numFmtId="2" fontId="0" fillId="0" borderId="0" xfId="0" applyNumberFormat="1"/>
    <xf numFmtId="176" fontId="0" fillId="4" borderId="0" xfId="0" applyNumberFormat="1" applyFill="1" applyAlignment="1">
      <alignment horizontal="center"/>
    </xf>
    <xf numFmtId="183" fontId="0" fillId="0" borderId="0" xfId="0" applyNumberFormat="1" applyAlignment="1">
      <alignment horizontal="center"/>
    </xf>
    <xf numFmtId="2" fontId="3" fillId="3" borderId="0" xfId="0" applyNumberFormat="1" applyFont="1" applyFill="1"/>
    <xf numFmtId="2" fontId="8" fillId="0" borderId="0" xfId="0" applyNumberFormat="1" applyFont="1"/>
    <xf numFmtId="2" fontId="0" fillId="3" borderId="0" xfId="0" applyNumberFormat="1" applyFill="1"/>
    <xf numFmtId="0" fontId="9" fillId="0" borderId="0" xfId="0" applyFont="1"/>
    <xf numFmtId="49" fontId="18" fillId="0" borderId="0" xfId="0" applyNumberFormat="1" applyFont="1" applyAlignment="1">
      <alignment horizontal="center"/>
    </xf>
    <xf numFmtId="2" fontId="18" fillId="0" borderId="0" xfId="0" applyNumberFormat="1" applyFont="1"/>
    <xf numFmtId="0" fontId="3" fillId="0" borderId="3" xfId="0" applyFont="1" applyBorder="1" applyAlignment="1">
      <alignment horizontal="center" wrapText="1"/>
    </xf>
    <xf numFmtId="0" fontId="3" fillId="0" borderId="4" xfId="0" applyFont="1" applyBorder="1" applyAlignment="1">
      <alignment horizontal="center"/>
    </xf>
    <xf numFmtId="0" fontId="10" fillId="0" borderId="0" xfId="0" applyFont="1"/>
    <xf numFmtId="175" fontId="0" fillId="4" borderId="0" xfId="0" applyNumberFormat="1" applyFill="1" applyAlignment="1">
      <alignment horizontal="center"/>
    </xf>
    <xf numFmtId="49" fontId="0" fillId="0" borderId="4" xfId="0" applyNumberFormat="1" applyBorder="1" applyAlignment="1">
      <alignment horizontal="center"/>
    </xf>
    <xf numFmtId="0" fontId="0" fillId="0" borderId="4" xfId="0" applyBorder="1" applyAlignment="1">
      <alignment horizontal="center"/>
    </xf>
    <xf numFmtId="2" fontId="0" fillId="0" borderId="4" xfId="0" applyNumberFormat="1" applyBorder="1" applyAlignment="1">
      <alignment horizontal="center"/>
    </xf>
    <xf numFmtId="0" fontId="3" fillId="0" borderId="0" xfId="0" applyFont="1"/>
    <xf numFmtId="2" fontId="0" fillId="5" borderId="4" xfId="0" applyNumberFormat="1" applyFill="1" applyBorder="1"/>
    <xf numFmtId="4" fontId="1" fillId="5" borderId="4" xfId="3" applyNumberFormat="1" applyFill="1" applyBorder="1"/>
    <xf numFmtId="2" fontId="3" fillId="0" borderId="4" xfId="0" applyNumberFormat="1" applyFont="1" applyBorder="1" applyAlignment="1">
      <alignment horizontal="center"/>
    </xf>
    <xf numFmtId="189" fontId="0" fillId="0" borderId="0" xfId="0" applyNumberFormat="1"/>
    <xf numFmtId="173" fontId="0" fillId="0" borderId="0" xfId="0" applyNumberFormat="1"/>
    <xf numFmtId="189" fontId="3" fillId="0" borderId="0" xfId="0" applyNumberFormat="1" applyFont="1"/>
    <xf numFmtId="173" fontId="3" fillId="0" borderId="0" xfId="0" applyNumberFormat="1" applyFont="1"/>
    <xf numFmtId="14" fontId="0" fillId="0" borderId="0" xfId="0" applyNumberFormat="1"/>
    <xf numFmtId="189" fontId="21" fillId="0" borderId="0" xfId="0" applyNumberFormat="1" applyFont="1"/>
    <xf numFmtId="0" fontId="26" fillId="19" borderId="0" xfId="0" applyFont="1" applyFill="1"/>
    <xf numFmtId="0" fontId="30" fillId="0" borderId="0" xfId="0" applyFont="1"/>
    <xf numFmtId="0" fontId="31" fillId="26" borderId="2" xfId="0" applyFont="1" applyFill="1" applyBorder="1" applyAlignment="1">
      <alignment horizontal="center"/>
    </xf>
    <xf numFmtId="189" fontId="32" fillId="29" borderId="2" xfId="0" applyNumberFormat="1" applyFont="1" applyFill="1" applyBorder="1" applyAlignment="1">
      <alignment horizontal="center"/>
    </xf>
    <xf numFmtId="175" fontId="32" fillId="29" borderId="2" xfId="0" applyNumberFormat="1" applyFont="1" applyFill="1" applyBorder="1" applyAlignment="1">
      <alignment horizontal="center"/>
    </xf>
    <xf numFmtId="0" fontId="30" fillId="19" borderId="0" xfId="0" applyFont="1" applyFill="1"/>
    <xf numFmtId="0" fontId="26" fillId="31" borderId="0" xfId="0" applyFont="1" applyFill="1"/>
    <xf numFmtId="211" fontId="26" fillId="31" borderId="0" xfId="0" applyNumberFormat="1" applyFont="1" applyFill="1"/>
    <xf numFmtId="189" fontId="28" fillId="32" borderId="2" xfId="0" applyNumberFormat="1" applyFont="1" applyFill="1" applyBorder="1" applyAlignment="1">
      <alignment horizontal="center"/>
    </xf>
    <xf numFmtId="0" fontId="12" fillId="26" borderId="53" xfId="0" applyFont="1" applyFill="1" applyBorder="1" applyAlignment="1">
      <alignment horizontal="center"/>
    </xf>
    <xf numFmtId="189" fontId="16" fillId="29" borderId="54" xfId="0" applyNumberFormat="1" applyFont="1" applyFill="1" applyBorder="1" applyAlignment="1" applyProtection="1">
      <alignment horizontal="center"/>
      <protection locked="0"/>
    </xf>
    <xf numFmtId="0" fontId="12" fillId="26" borderId="55" xfId="0" applyFont="1" applyFill="1" applyBorder="1" applyAlignment="1">
      <alignment horizontal="center"/>
    </xf>
    <xf numFmtId="175" fontId="16" fillId="29" borderId="56" xfId="0" applyNumberFormat="1" applyFont="1" applyFill="1" applyBorder="1" applyAlignment="1" applyProtection="1">
      <alignment horizontal="center"/>
      <protection locked="0"/>
    </xf>
    <xf numFmtId="0" fontId="26" fillId="33" borderId="47" xfId="0" applyFont="1" applyFill="1" applyBorder="1"/>
    <xf numFmtId="0" fontId="26" fillId="33" borderId="57" xfId="0" applyFont="1" applyFill="1" applyBorder="1"/>
    <xf numFmtId="0" fontId="26" fillId="33" borderId="48" xfId="0" applyFont="1" applyFill="1" applyBorder="1"/>
    <xf numFmtId="0" fontId="26" fillId="33" borderId="49" xfId="0" applyFont="1" applyFill="1" applyBorder="1"/>
    <xf numFmtId="0" fontId="26" fillId="33" borderId="50" xfId="0" applyFont="1" applyFill="1" applyBorder="1"/>
    <xf numFmtId="0" fontId="26" fillId="33" borderId="58" xfId="0" applyFont="1" applyFill="1" applyBorder="1"/>
    <xf numFmtId="0" fontId="26" fillId="33" borderId="59" xfId="0" applyFont="1" applyFill="1" applyBorder="1"/>
    <xf numFmtId="0" fontId="26" fillId="33" borderId="60" xfId="0" applyFont="1" applyFill="1" applyBorder="1"/>
    <xf numFmtId="0" fontId="30" fillId="34" borderId="0" xfId="0" applyFont="1" applyFill="1"/>
    <xf numFmtId="0" fontId="26" fillId="35" borderId="4" xfId="0" applyFont="1" applyFill="1" applyBorder="1" applyAlignment="1">
      <alignment horizontal="center"/>
    </xf>
    <xf numFmtId="0" fontId="27" fillId="35" borderId="4" xfId="0" applyFont="1" applyFill="1" applyBorder="1" applyAlignment="1">
      <alignment horizontal="center"/>
    </xf>
    <xf numFmtId="0" fontId="26" fillId="36" borderId="4" xfId="0" applyFont="1" applyFill="1" applyBorder="1" applyAlignment="1">
      <alignment horizontal="center"/>
    </xf>
    <xf numFmtId="211" fontId="27" fillId="36" borderId="4" xfId="0" applyNumberFormat="1" applyFont="1" applyFill="1" applyBorder="1" applyAlignment="1">
      <alignment horizontal="center"/>
    </xf>
    <xf numFmtId="0" fontId="26" fillId="36" borderId="4" xfId="0" applyFont="1" applyFill="1" applyBorder="1" applyAlignment="1" applyProtection="1">
      <alignment horizontal="center"/>
      <protection locked="0"/>
    </xf>
    <xf numFmtId="212" fontId="26" fillId="36" borderId="4" xfId="0" applyNumberFormat="1" applyFont="1" applyFill="1" applyBorder="1" applyAlignment="1">
      <alignment horizontal="center"/>
    </xf>
    <xf numFmtId="189" fontId="26" fillId="36" borderId="4" xfId="0" applyNumberFormat="1" applyFont="1" applyFill="1" applyBorder="1" applyAlignment="1">
      <alignment horizontal="center"/>
    </xf>
    <xf numFmtId="194" fontId="26" fillId="36" borderId="4" xfId="0" applyNumberFormat="1" applyFont="1" applyFill="1" applyBorder="1" applyAlignment="1">
      <alignment horizontal="center"/>
    </xf>
    <xf numFmtId="174" fontId="26" fillId="36" borderId="4" xfId="0" applyNumberFormat="1" applyFont="1" applyFill="1" applyBorder="1" applyAlignment="1">
      <alignment horizontal="center"/>
    </xf>
    <xf numFmtId="176" fontId="0" fillId="0" borderId="0" xfId="0" applyNumberFormat="1"/>
    <xf numFmtId="49" fontId="3" fillId="0" borderId="2" xfId="0" applyNumberFormat="1" applyFont="1" applyBorder="1"/>
    <xf numFmtId="176" fontId="3" fillId="4" borderId="2" xfId="0" applyNumberFormat="1" applyFont="1" applyFill="1" applyBorder="1" applyAlignment="1">
      <alignment horizontal="center"/>
    </xf>
    <xf numFmtId="49" fontId="0" fillId="0" borderId="61" xfId="0" applyNumberFormat="1" applyBorder="1" applyAlignment="1">
      <alignment horizontal="center"/>
    </xf>
    <xf numFmtId="2" fontId="0" fillId="0" borderId="61" xfId="0" applyNumberFormat="1" applyBorder="1" applyAlignment="1">
      <alignment horizontal="center"/>
    </xf>
    <xf numFmtId="2" fontId="0" fillId="0" borderId="8" xfId="0" applyNumberFormat="1" applyBorder="1" applyAlignment="1">
      <alignment horizontal="center"/>
    </xf>
    <xf numFmtId="176" fontId="0" fillId="0" borderId="12" xfId="0" applyNumberFormat="1" applyBorder="1" applyAlignment="1">
      <alignment horizontal="center"/>
    </xf>
    <xf numFmtId="2" fontId="3" fillId="0" borderId="0" xfId="0" applyNumberFormat="1" applyFont="1"/>
    <xf numFmtId="49" fontId="3" fillId="0" borderId="11" xfId="0" applyNumberFormat="1" applyFont="1" applyBorder="1"/>
    <xf numFmtId="2" fontId="3" fillId="4" borderId="11" xfId="0" applyNumberFormat="1" applyFont="1" applyFill="1" applyBorder="1" applyAlignment="1">
      <alignment horizontal="center"/>
    </xf>
    <xf numFmtId="2" fontId="0" fillId="0" borderId="13" xfId="0" applyNumberFormat="1" applyBorder="1" applyAlignment="1">
      <alignment horizontal="center"/>
    </xf>
    <xf numFmtId="49" fontId="3" fillId="0" borderId="62" xfId="0" applyNumberFormat="1" applyFont="1" applyBorder="1"/>
    <xf numFmtId="2" fontId="0" fillId="4" borderId="63" xfId="0" applyNumberFormat="1" applyFill="1" applyBorder="1" applyAlignment="1">
      <alignment horizontal="center"/>
    </xf>
    <xf numFmtId="49" fontId="0" fillId="0" borderId="63" xfId="0" applyNumberFormat="1" applyBorder="1" applyAlignment="1">
      <alignment horizontal="center"/>
    </xf>
    <xf numFmtId="2" fontId="0" fillId="0" borderId="63" xfId="0" applyNumberFormat="1" applyBorder="1" applyAlignment="1">
      <alignment horizontal="center"/>
    </xf>
    <xf numFmtId="2" fontId="0" fillId="0" borderId="64" xfId="0" applyNumberFormat="1" applyBorder="1" applyAlignment="1">
      <alignment horizontal="center"/>
    </xf>
    <xf numFmtId="49" fontId="3" fillId="0" borderId="65" xfId="0" applyNumberFormat="1" applyFont="1" applyBorder="1"/>
    <xf numFmtId="2" fontId="0" fillId="4" borderId="4" xfId="0" applyNumberFormat="1" applyFill="1" applyBorder="1" applyAlignment="1">
      <alignment horizontal="center"/>
    </xf>
    <xf numFmtId="2" fontId="0" fillId="0" borderId="66" xfId="0" applyNumberFormat="1" applyBorder="1" applyAlignment="1">
      <alignment horizontal="center"/>
    </xf>
    <xf numFmtId="0" fontId="35" fillId="0" borderId="0" xfId="0" applyFont="1"/>
    <xf numFmtId="49" fontId="3" fillId="0" borderId="67" xfId="0" applyNumberFormat="1" applyFont="1" applyBorder="1"/>
    <xf numFmtId="2" fontId="0" fillId="4" borderId="68" xfId="0" applyNumberFormat="1" applyFill="1" applyBorder="1" applyAlignment="1">
      <alignment horizontal="center"/>
    </xf>
    <xf numFmtId="49" fontId="1" fillId="0" borderId="68" xfId="0" applyNumberFormat="1" applyFont="1" applyBorder="1" applyAlignment="1">
      <alignment horizontal="center"/>
    </xf>
    <xf numFmtId="2" fontId="0" fillId="0" borderId="68" xfId="0" applyNumberFormat="1" applyBorder="1" applyAlignment="1">
      <alignment horizontal="center"/>
    </xf>
    <xf numFmtId="2" fontId="0" fillId="0" borderId="69" xfId="0" applyNumberFormat="1" applyBorder="1" applyAlignment="1">
      <alignment horizontal="center"/>
    </xf>
    <xf numFmtId="49" fontId="3" fillId="0" borderId="16" xfId="0" applyNumberFormat="1" applyFont="1" applyBorder="1"/>
    <xf numFmtId="2" fontId="36" fillId="0" borderId="2" xfId="0" applyNumberFormat="1" applyFont="1" applyBorder="1" applyAlignment="1">
      <alignment horizontal="center"/>
    </xf>
    <xf numFmtId="2" fontId="3" fillId="0" borderId="16" xfId="0" applyNumberFormat="1" applyFont="1" applyBorder="1" applyAlignment="1">
      <alignment horizontal="center"/>
    </xf>
    <xf numFmtId="2" fontId="0" fillId="0" borderId="2" xfId="0" applyNumberFormat="1" applyBorder="1" applyAlignment="1">
      <alignment horizontal="center"/>
    </xf>
    <xf numFmtId="176" fontId="1" fillId="0" borderId="2" xfId="0" applyNumberFormat="1" applyFont="1" applyBorder="1" applyAlignment="1">
      <alignment horizontal="center"/>
    </xf>
    <xf numFmtId="0" fontId="3" fillId="0" borderId="4" xfId="0" applyFont="1" applyBorder="1" applyAlignment="1">
      <alignment horizontal="center" wrapText="1"/>
    </xf>
    <xf numFmtId="49" fontId="3" fillId="37" borderId="4" xfId="0" applyNumberFormat="1" applyFont="1" applyFill="1" applyBorder="1" applyAlignment="1">
      <alignment horizontal="center" vertical="center"/>
    </xf>
    <xf numFmtId="0" fontId="3" fillId="37" borderId="4" xfId="0" applyFont="1" applyFill="1" applyBorder="1" applyAlignment="1">
      <alignment horizontal="center" vertical="center"/>
    </xf>
    <xf numFmtId="0" fontId="0" fillId="0" borderId="4" xfId="0" applyBorder="1" applyAlignment="1">
      <alignment horizontal="center" vertical="center"/>
    </xf>
    <xf numFmtId="2" fontId="0" fillId="0" borderId="4" xfId="0" applyNumberFormat="1" applyBorder="1" applyAlignment="1">
      <alignment horizontal="center" vertical="center"/>
    </xf>
    <xf numFmtId="4" fontId="1" fillId="0" borderId="0" xfId="3" applyNumberFormat="1"/>
    <xf numFmtId="2" fontId="3" fillId="0" borderId="4" xfId="0" applyNumberFormat="1" applyFont="1" applyBorder="1" applyAlignment="1">
      <alignment horizontal="center" vertical="center"/>
    </xf>
    <xf numFmtId="2" fontId="3" fillId="0" borderId="0" xfId="0" applyNumberFormat="1" applyFont="1" applyAlignment="1">
      <alignment horizontal="center"/>
    </xf>
    <xf numFmtId="0" fontId="0" fillId="0" borderId="0" xfId="0" applyAlignment="1">
      <alignment horizontal="center"/>
    </xf>
    <xf numFmtId="0" fontId="1" fillId="0" borderId="0" xfId="0" applyFont="1"/>
    <xf numFmtId="0" fontId="0" fillId="0" borderId="0" xfId="0" applyAlignment="1">
      <alignment wrapText="1"/>
    </xf>
    <xf numFmtId="0" fontId="0" fillId="0" borderId="0" xfId="0" applyAlignment="1">
      <alignment horizontal="center" wrapText="1"/>
    </xf>
    <xf numFmtId="0" fontId="1" fillId="0" borderId="0" xfId="0" applyFont="1" applyAlignment="1">
      <alignment horizontal="center" wrapText="1"/>
    </xf>
    <xf numFmtId="172" fontId="0" fillId="0" borderId="0" xfId="0" applyNumberFormat="1" applyAlignment="1">
      <alignment horizontal="center" wrapText="1"/>
    </xf>
    <xf numFmtId="165" fontId="0" fillId="0" borderId="0" xfId="0" applyNumberFormat="1" applyAlignment="1">
      <alignment horizontal="center"/>
    </xf>
    <xf numFmtId="4" fontId="0" fillId="0" borderId="0" xfId="0" applyNumberFormat="1" applyAlignment="1">
      <alignment horizontal="center"/>
    </xf>
    <xf numFmtId="166" fontId="0" fillId="0" borderId="0" xfId="0" applyNumberFormat="1" applyAlignment="1">
      <alignment horizontal="center"/>
    </xf>
    <xf numFmtId="213" fontId="0" fillId="0" borderId="0" xfId="0" applyNumberFormat="1" applyAlignment="1">
      <alignment horizontal="center"/>
    </xf>
    <xf numFmtId="167" fontId="0" fillId="0" borderId="0" xfId="0" applyNumberFormat="1" applyAlignment="1">
      <alignment horizontal="center"/>
    </xf>
    <xf numFmtId="180" fontId="0" fillId="0" borderId="0" xfId="0" applyNumberFormat="1" applyAlignment="1">
      <alignment horizontal="center"/>
    </xf>
    <xf numFmtId="179" fontId="0" fillId="0" borderId="0" xfId="0" applyNumberFormat="1" applyAlignment="1">
      <alignment horizontal="center"/>
    </xf>
    <xf numFmtId="169" fontId="0" fillId="0" borderId="0" xfId="0" applyNumberFormat="1" applyAlignment="1">
      <alignment horizontal="center"/>
    </xf>
    <xf numFmtId="170" fontId="0" fillId="0" borderId="0" xfId="0" applyNumberFormat="1" applyAlignment="1">
      <alignment horizontal="center"/>
    </xf>
    <xf numFmtId="171" fontId="0" fillId="0" borderId="0" xfId="0" applyNumberFormat="1" applyAlignment="1">
      <alignment horizontal="center"/>
    </xf>
    <xf numFmtId="181" fontId="0" fillId="0" borderId="0" xfId="0" applyNumberFormat="1" applyAlignment="1">
      <alignment horizontal="center"/>
    </xf>
    <xf numFmtId="173" fontId="0" fillId="0" borderId="0" xfId="0" applyNumberFormat="1" applyAlignment="1">
      <alignment horizontal="center"/>
    </xf>
    <xf numFmtId="186" fontId="0" fillId="0" borderId="0" xfId="0" applyNumberFormat="1" applyAlignment="1">
      <alignment horizontal="center"/>
    </xf>
    <xf numFmtId="185" fontId="0" fillId="0" borderId="0" xfId="0" applyNumberFormat="1" applyAlignment="1">
      <alignment horizontal="center"/>
    </xf>
    <xf numFmtId="173" fontId="3" fillId="0" borderId="0" xfId="0" applyNumberFormat="1" applyFont="1" applyAlignment="1">
      <alignment horizontal="center"/>
    </xf>
    <xf numFmtId="0" fontId="0" fillId="0" borderId="70" xfId="0" applyBorder="1" applyAlignment="1">
      <alignment horizontal="center"/>
    </xf>
    <xf numFmtId="181" fontId="0" fillId="0" borderId="70" xfId="0" applyNumberFormat="1" applyBorder="1" applyAlignment="1">
      <alignment horizontal="center"/>
    </xf>
    <xf numFmtId="173" fontId="0" fillId="0" borderId="70" xfId="0" applyNumberFormat="1" applyBorder="1" applyAlignment="1">
      <alignment horizontal="center"/>
    </xf>
    <xf numFmtId="173" fontId="3" fillId="0" borderId="70" xfId="0" applyNumberFormat="1" applyFont="1" applyBorder="1" applyAlignment="1">
      <alignment horizontal="center"/>
    </xf>
    <xf numFmtId="214" fontId="0" fillId="0" borderId="0" xfId="0" applyNumberFormat="1" applyAlignment="1">
      <alignment horizontal="center"/>
    </xf>
    <xf numFmtId="215" fontId="0" fillId="0" borderId="0" xfId="0" applyNumberFormat="1" applyAlignment="1">
      <alignment horizontal="center"/>
    </xf>
    <xf numFmtId="167" fontId="11" fillId="2" borderId="12" xfId="0" applyNumberFormat="1" applyFont="1" applyFill="1" applyBorder="1" applyAlignment="1" applyProtection="1">
      <alignment horizontal="center"/>
      <protection locked="0"/>
    </xf>
    <xf numFmtId="0" fontId="1" fillId="0" borderId="0" xfId="0" applyFont="1" applyAlignment="1">
      <alignment horizontal="center"/>
    </xf>
    <xf numFmtId="164" fontId="21" fillId="0" borderId="0" xfId="0" applyNumberFormat="1" applyFont="1"/>
    <xf numFmtId="203" fontId="3" fillId="0" borderId="0" xfId="0" applyNumberFormat="1" applyFont="1" applyAlignment="1">
      <alignment horizontal="center"/>
    </xf>
    <xf numFmtId="0" fontId="39" fillId="0" borderId="0" xfId="0" applyFont="1"/>
    <xf numFmtId="0" fontId="39" fillId="0" borderId="0" xfId="0" applyFont="1" applyAlignment="1">
      <alignment horizontal="center"/>
    </xf>
    <xf numFmtId="0" fontId="2" fillId="0" borderId="0" xfId="0" applyFont="1"/>
    <xf numFmtId="183" fontId="2" fillId="0" borderId="0" xfId="0" applyNumberFormat="1" applyFont="1" applyAlignment="1">
      <alignment horizontal="center"/>
    </xf>
    <xf numFmtId="2" fontId="2" fillId="0" borderId="0" xfId="0" applyNumberFormat="1" applyFont="1" applyAlignment="1">
      <alignment horizontal="center"/>
    </xf>
    <xf numFmtId="164" fontId="0" fillId="0" borderId="0" xfId="0" applyNumberFormat="1" applyAlignment="1">
      <alignment horizontal="center"/>
    </xf>
    <xf numFmtId="0" fontId="40" fillId="0" borderId="0" xfId="0" applyFont="1"/>
    <xf numFmtId="0" fontId="40" fillId="0" borderId="0" xfId="0" applyFont="1" applyAlignment="1">
      <alignment horizontal="center"/>
    </xf>
    <xf numFmtId="0" fontId="24" fillId="0" borderId="0" xfId="0" applyFont="1"/>
    <xf numFmtId="198" fontId="40" fillId="0" borderId="0" xfId="0" applyNumberFormat="1" applyFont="1" applyAlignment="1">
      <alignment horizontal="center"/>
    </xf>
    <xf numFmtId="203" fontId="40" fillId="0" borderId="0" xfId="0" applyNumberFormat="1" applyFont="1" applyAlignment="1">
      <alignment horizontal="center"/>
    </xf>
    <xf numFmtId="0" fontId="41" fillId="0" borderId="0" xfId="0" applyFont="1"/>
    <xf numFmtId="198" fontId="41" fillId="0" borderId="0" xfId="0" applyNumberFormat="1" applyFont="1" applyAlignment="1">
      <alignment horizontal="center"/>
    </xf>
    <xf numFmtId="203" fontId="41" fillId="0" borderId="0" xfId="0" applyNumberFormat="1" applyFont="1" applyAlignment="1">
      <alignment horizontal="center"/>
    </xf>
    <xf numFmtId="203" fontId="26" fillId="0" borderId="0" xfId="0" applyNumberFormat="1" applyFont="1" applyAlignment="1">
      <alignment horizontal="center"/>
    </xf>
    <xf numFmtId="0" fontId="26" fillId="22" borderId="0" xfId="0" applyFont="1" applyFill="1"/>
    <xf numFmtId="0" fontId="26" fillId="22" borderId="0" xfId="0" applyFont="1" applyFill="1" applyAlignment="1">
      <alignment horizontal="center"/>
    </xf>
    <xf numFmtId="203" fontId="26" fillId="22" borderId="0" xfId="0" applyNumberFormat="1" applyFont="1" applyFill="1" applyAlignment="1">
      <alignment horizontal="center"/>
    </xf>
    <xf numFmtId="173" fontId="11" fillId="25" borderId="15" xfId="0" applyNumberFormat="1" applyFont="1" applyFill="1" applyBorder="1" applyAlignment="1">
      <alignment horizontal="center"/>
    </xf>
    <xf numFmtId="0" fontId="26" fillId="19" borderId="0" xfId="0" applyFont="1" applyFill="1" applyAlignment="1">
      <alignment horizontal="center"/>
    </xf>
    <xf numFmtId="203" fontId="26" fillId="19" borderId="0" xfId="0" applyNumberFormat="1" applyFont="1" applyFill="1" applyAlignment="1">
      <alignment horizontal="center"/>
    </xf>
    <xf numFmtId="164" fontId="0" fillId="0" borderId="0" xfId="3" applyFont="1" applyAlignment="1">
      <alignment horizontal="center"/>
    </xf>
    <xf numFmtId="0" fontId="3" fillId="0" borderId="0" xfId="0" applyFont="1" applyAlignment="1">
      <alignment horizontal="center"/>
    </xf>
    <xf numFmtId="9" fontId="0" fillId="0" borderId="0" xfId="1" applyFont="1" applyAlignment="1">
      <alignment horizontal="center"/>
    </xf>
    <xf numFmtId="173" fontId="11" fillId="24" borderId="0" xfId="0" applyNumberFormat="1" applyFont="1" applyFill="1"/>
    <xf numFmtId="10" fontId="11" fillId="24" borderId="0" xfId="1" applyNumberFormat="1" applyFont="1" applyFill="1"/>
    <xf numFmtId="0" fontId="26" fillId="21" borderId="0" xfId="0" applyFont="1" applyFill="1"/>
    <xf numFmtId="0" fontId="26" fillId="21" borderId="0" xfId="0" applyFont="1" applyFill="1" applyAlignment="1">
      <alignment horizontal="center"/>
    </xf>
    <xf numFmtId="0" fontId="26" fillId="39" borderId="4" xfId="0" applyFont="1" applyFill="1" applyBorder="1" applyAlignment="1">
      <alignment horizontal="center"/>
    </xf>
    <xf numFmtId="211" fontId="27" fillId="39" borderId="4" xfId="0" applyNumberFormat="1" applyFont="1" applyFill="1" applyBorder="1" applyAlignment="1">
      <alignment horizontal="center"/>
    </xf>
    <xf numFmtId="0" fontId="42" fillId="38" borderId="4" xfId="0" applyFont="1" applyFill="1" applyBorder="1" applyAlignment="1">
      <alignment horizontal="center"/>
    </xf>
    <xf numFmtId="211" fontId="43" fillId="38" borderId="4" xfId="0" applyNumberFormat="1" applyFont="1" applyFill="1" applyBorder="1" applyAlignment="1">
      <alignment horizontal="center"/>
    </xf>
    <xf numFmtId="212" fontId="42" fillId="38" borderId="4" xfId="0" applyNumberFormat="1" applyFont="1" applyFill="1" applyBorder="1" applyAlignment="1">
      <alignment horizontal="center"/>
    </xf>
    <xf numFmtId="189" fontId="42" fillId="38" borderId="4" xfId="0" applyNumberFormat="1" applyFont="1" applyFill="1" applyBorder="1" applyAlignment="1">
      <alignment horizontal="center"/>
    </xf>
    <xf numFmtId="194" fontId="42" fillId="38" borderId="4" xfId="0" applyNumberFormat="1" applyFont="1" applyFill="1" applyBorder="1" applyAlignment="1">
      <alignment horizontal="center"/>
    </xf>
    <xf numFmtId="212" fontId="26" fillId="0" borderId="0" xfId="0" applyNumberFormat="1" applyFont="1"/>
    <xf numFmtId="189" fontId="26" fillId="0" borderId="0" xfId="0" applyNumberFormat="1" applyFont="1"/>
    <xf numFmtId="212" fontId="26" fillId="39" borderId="4" xfId="0" applyNumberFormat="1" applyFont="1" applyFill="1" applyBorder="1" applyAlignment="1" applyProtection="1">
      <alignment horizontal="center"/>
      <protection locked="0"/>
    </xf>
    <xf numFmtId="189" fontId="26" fillId="39" borderId="4" xfId="0" applyNumberFormat="1" applyFont="1" applyFill="1" applyBorder="1" applyAlignment="1" applyProtection="1">
      <alignment horizontal="center"/>
      <protection locked="0"/>
    </xf>
    <xf numFmtId="194" fontId="26" fillId="39" borderId="4" xfId="0" applyNumberFormat="1" applyFont="1" applyFill="1" applyBorder="1" applyAlignment="1" applyProtection="1">
      <alignment horizontal="center"/>
      <protection locked="0"/>
    </xf>
    <xf numFmtId="0" fontId="26" fillId="39" borderId="4" xfId="0" applyFont="1" applyFill="1" applyBorder="1" applyAlignment="1" applyProtection="1">
      <alignment horizontal="center"/>
      <protection locked="0"/>
    </xf>
    <xf numFmtId="212" fontId="26" fillId="36" borderId="4" xfId="0" applyNumberFormat="1" applyFont="1" applyFill="1" applyBorder="1" applyAlignment="1" applyProtection="1">
      <alignment horizontal="center"/>
      <protection locked="0"/>
    </xf>
    <xf numFmtId="194" fontId="26" fillId="36" borderId="4" xfId="0" applyNumberFormat="1" applyFont="1" applyFill="1" applyBorder="1" applyAlignment="1" applyProtection="1">
      <alignment horizontal="center"/>
      <protection locked="0"/>
    </xf>
    <xf numFmtId="189" fontId="16" fillId="29" borderId="54" xfId="0" applyNumberFormat="1" applyFont="1" applyFill="1" applyBorder="1" applyAlignment="1">
      <alignment horizontal="center"/>
    </xf>
    <xf numFmtId="175" fontId="16" fillId="29" borderId="56" xfId="0" applyNumberFormat="1" applyFont="1" applyFill="1" applyBorder="1" applyAlignment="1">
      <alignment horizontal="center"/>
    </xf>
    <xf numFmtId="184" fontId="11" fillId="2" borderId="2" xfId="0" applyNumberFormat="1" applyFont="1" applyFill="1" applyBorder="1" applyAlignment="1" applyProtection="1">
      <alignment horizontal="center"/>
      <protection locked="0"/>
    </xf>
    <xf numFmtId="216" fontId="20" fillId="8" borderId="0" xfId="0" applyNumberFormat="1" applyFont="1" applyFill="1" applyAlignment="1">
      <alignment horizontal="left" indent="2"/>
    </xf>
    <xf numFmtId="0" fontId="21" fillId="0" borderId="0" xfId="0" quotePrefix="1" applyFont="1"/>
    <xf numFmtId="0" fontId="0" fillId="0" borderId="0" xfId="0" applyAlignment="1">
      <alignment horizontal="center"/>
    </xf>
    <xf numFmtId="0" fontId="3" fillId="0" borderId="0" xfId="0" applyFont="1" applyAlignment="1">
      <alignment horizontal="left"/>
    </xf>
    <xf numFmtId="0" fontId="1" fillId="0" borderId="0" xfId="0" applyFont="1" applyAlignment="1">
      <alignment horizontal="left"/>
    </xf>
    <xf numFmtId="0" fontId="0" fillId="0" borderId="0" xfId="0" applyAlignment="1">
      <alignment horizontal="left"/>
    </xf>
    <xf numFmtId="0" fontId="46" fillId="40" borderId="0" xfId="4"/>
    <xf numFmtId="0" fontId="1" fillId="0" borderId="0" xfId="0" applyFont="1" applyAlignment="1">
      <alignment wrapText="1"/>
    </xf>
    <xf numFmtId="0" fontId="1" fillId="0" borderId="0" xfId="0" applyFont="1" applyAlignment="1">
      <alignment vertical="center"/>
    </xf>
    <xf numFmtId="0" fontId="0" fillId="0" borderId="0" xfId="0" applyAlignment="1">
      <alignment vertical="center"/>
    </xf>
    <xf numFmtId="0" fontId="46" fillId="40" borderId="0" xfId="4" applyAlignment="1">
      <alignment vertical="center"/>
    </xf>
    <xf numFmtId="0" fontId="46" fillId="41" borderId="0" xfId="5"/>
    <xf numFmtId="0" fontId="46" fillId="41" borderId="0" xfId="5" applyAlignment="1">
      <alignment horizontal="center"/>
    </xf>
    <xf numFmtId="0" fontId="3" fillId="0" borderId="0" xfId="0" applyFont="1" applyAlignment="1">
      <alignment vertical="center"/>
    </xf>
    <xf numFmtId="0" fontId="47" fillId="0" borderId="0" xfId="0" applyFont="1" applyAlignment="1">
      <alignment vertical="center"/>
    </xf>
    <xf numFmtId="0" fontId="0" fillId="15" borderId="0" xfId="0" applyFill="1"/>
    <xf numFmtId="0" fontId="1" fillId="15" borderId="0" xfId="0" applyFont="1" applyFill="1"/>
    <xf numFmtId="0" fontId="1" fillId="0" borderId="0" xfId="0" applyFont="1" applyAlignment="1">
      <alignment horizontal="left"/>
    </xf>
    <xf numFmtId="0" fontId="0" fillId="0" borderId="0" xfId="0" applyAlignment="1">
      <alignment horizontal="left"/>
    </xf>
    <xf numFmtId="2" fontId="3" fillId="37" borderId="11" xfId="0" applyNumberFormat="1" applyFont="1" applyFill="1" applyBorder="1" applyAlignment="1">
      <alignment horizontal="center" vertical="center"/>
    </xf>
    <xf numFmtId="2" fontId="3" fillId="37" borderId="16" xfId="0" applyNumberFormat="1" applyFont="1" applyFill="1" applyBorder="1" applyAlignment="1">
      <alignment horizontal="center" vertical="center"/>
    </xf>
    <xf numFmtId="176" fontId="34" fillId="0" borderId="11" xfId="0" applyNumberFormat="1" applyFont="1" applyBorder="1" applyAlignment="1">
      <alignment horizontal="center" vertical="center"/>
    </xf>
    <xf numFmtId="176" fontId="34" fillId="0" borderId="15" xfId="0" applyNumberFormat="1" applyFont="1" applyBorder="1" applyAlignment="1">
      <alignment horizontal="center" vertical="center"/>
    </xf>
    <xf numFmtId="176" fontId="34" fillId="0" borderId="16" xfId="0" applyNumberFormat="1" applyFont="1" applyBorder="1" applyAlignment="1">
      <alignment horizontal="center" vertical="center"/>
    </xf>
    <xf numFmtId="2" fontId="34" fillId="37" borderId="11" xfId="0" applyNumberFormat="1" applyFont="1" applyFill="1" applyBorder="1" applyAlignment="1">
      <alignment horizontal="center" vertical="center"/>
    </xf>
    <xf numFmtId="2" fontId="34" fillId="37" borderId="15" xfId="0" applyNumberFormat="1" applyFont="1" applyFill="1" applyBorder="1" applyAlignment="1">
      <alignment horizontal="center" vertical="center"/>
    </xf>
    <xf numFmtId="2" fontId="34" fillId="37" borderId="16" xfId="0" applyNumberFormat="1" applyFont="1" applyFill="1" applyBorder="1" applyAlignment="1">
      <alignment horizontal="center" vertical="center"/>
    </xf>
    <xf numFmtId="14" fontId="0" fillId="0" borderId="0" xfId="0" applyNumberFormat="1" applyAlignment="1">
      <alignment horizontal="center"/>
    </xf>
    <xf numFmtId="0" fontId="0" fillId="0" borderId="0" xfId="0" applyAlignment="1">
      <alignment horizontal="center"/>
    </xf>
    <xf numFmtId="0" fontId="14" fillId="6" borderId="30" xfId="0" applyFont="1" applyFill="1" applyBorder="1" applyAlignment="1">
      <alignment horizontal="center"/>
    </xf>
    <xf numFmtId="0" fontId="14" fillId="6" borderId="31" xfId="0" applyFont="1" applyFill="1" applyBorder="1" applyAlignment="1">
      <alignment horizontal="center"/>
    </xf>
    <xf numFmtId="0" fontId="25" fillId="25" borderId="30" xfId="0" applyFont="1" applyFill="1" applyBorder="1" applyAlignment="1">
      <alignment horizontal="center"/>
    </xf>
    <xf numFmtId="0" fontId="25" fillId="25" borderId="40" xfId="0" applyFont="1" applyFill="1" applyBorder="1" applyAlignment="1">
      <alignment horizontal="center"/>
    </xf>
    <xf numFmtId="0" fontId="25" fillId="25" borderId="31" xfId="0" applyFont="1" applyFill="1" applyBorder="1" applyAlignment="1">
      <alignment horizontal="center"/>
    </xf>
    <xf numFmtId="0" fontId="17" fillId="8" borderId="0" xfId="0" applyFont="1" applyFill="1" applyAlignment="1">
      <alignment horizontal="center"/>
    </xf>
    <xf numFmtId="0" fontId="12" fillId="30" borderId="21" xfId="0" applyFont="1" applyFill="1" applyBorder="1" applyAlignment="1">
      <alignment horizontal="center"/>
    </xf>
    <xf numFmtId="0" fontId="12" fillId="30" borderId="23" xfId="0" applyFont="1" applyFill="1" applyBorder="1" applyAlignment="1">
      <alignment horizontal="center"/>
    </xf>
    <xf numFmtId="208" fontId="11" fillId="30" borderId="24" xfId="0" applyNumberFormat="1" applyFont="1" applyFill="1" applyBorder="1" applyAlignment="1">
      <alignment horizontal="center"/>
    </xf>
    <xf numFmtId="208" fontId="11" fillId="30" borderId="25" xfId="0" applyNumberFormat="1" applyFont="1" applyFill="1" applyBorder="1" applyAlignment="1">
      <alignment horizontal="center"/>
    </xf>
    <xf numFmtId="208" fontId="11" fillId="30" borderId="26" xfId="0" applyNumberFormat="1" applyFont="1" applyFill="1" applyBorder="1" applyAlignment="1">
      <alignment horizontal="center"/>
    </xf>
    <xf numFmtId="208" fontId="11" fillId="30" borderId="28" xfId="0" applyNumberFormat="1" applyFont="1" applyFill="1" applyBorder="1" applyAlignment="1">
      <alignment horizontal="center"/>
    </xf>
    <xf numFmtId="0" fontId="29" fillId="24" borderId="0" xfId="0" applyFont="1" applyFill="1" applyAlignment="1">
      <alignment horizontal="center" wrapText="1"/>
    </xf>
    <xf numFmtId="0" fontId="11" fillId="25" borderId="10" xfId="0" applyFont="1" applyFill="1" applyBorder="1" applyAlignment="1">
      <alignment horizontal="center"/>
    </xf>
    <xf numFmtId="0" fontId="11" fillId="25" borderId="8" xfId="0" applyFont="1" applyFill="1" applyBorder="1" applyAlignment="1">
      <alignment horizontal="center"/>
    </xf>
    <xf numFmtId="0" fontId="11" fillId="25" borderId="9" xfId="0" applyFont="1" applyFill="1" applyBorder="1" applyAlignment="1">
      <alignment horizontal="center"/>
    </xf>
    <xf numFmtId="0" fontId="11" fillId="25" borderId="32" xfId="0" applyFont="1" applyFill="1" applyBorder="1" applyAlignment="1">
      <alignment horizontal="center"/>
    </xf>
    <xf numFmtId="0" fontId="14" fillId="6" borderId="40" xfId="0" applyFont="1" applyFill="1" applyBorder="1" applyAlignment="1">
      <alignment horizontal="center"/>
    </xf>
    <xf numFmtId="0" fontId="14" fillId="6" borderId="41" xfId="0" applyFont="1" applyFill="1" applyBorder="1" applyAlignment="1" applyProtection="1">
      <alignment horizontal="center"/>
      <protection locked="0"/>
    </xf>
    <xf numFmtId="0" fontId="14" fillId="6" borderId="42" xfId="0" applyFont="1" applyFill="1" applyBorder="1" applyAlignment="1" applyProtection="1">
      <alignment horizontal="center"/>
      <protection locked="0"/>
    </xf>
    <xf numFmtId="0" fontId="14" fillId="6" borderId="43" xfId="0" applyFont="1" applyFill="1" applyBorder="1" applyAlignment="1" applyProtection="1">
      <alignment horizontal="center"/>
      <protection locked="0"/>
    </xf>
    <xf numFmtId="0" fontId="14" fillId="6" borderId="44" xfId="0" applyFont="1" applyFill="1" applyBorder="1" applyAlignment="1" applyProtection="1">
      <alignment horizontal="center"/>
      <protection locked="0"/>
    </xf>
    <xf numFmtId="0" fontId="14" fillId="6" borderId="45" xfId="0" applyFont="1" applyFill="1" applyBorder="1" applyAlignment="1" applyProtection="1">
      <alignment horizontal="center"/>
      <protection locked="0"/>
    </xf>
    <xf numFmtId="0" fontId="14" fillId="6" borderId="46" xfId="0" applyFont="1" applyFill="1" applyBorder="1" applyAlignment="1" applyProtection="1">
      <alignment horizontal="center"/>
      <protection locked="0"/>
    </xf>
    <xf numFmtId="194" fontId="11" fillId="24" borderId="0" xfId="0" applyNumberFormat="1" applyFont="1" applyFill="1" applyAlignment="1">
      <alignment horizontal="center"/>
    </xf>
    <xf numFmtId="0" fontId="11" fillId="28" borderId="6" xfId="0" applyFont="1" applyFill="1" applyBorder="1" applyAlignment="1" applyProtection="1">
      <alignment horizontal="center"/>
      <protection locked="0"/>
    </xf>
    <xf numFmtId="0" fontId="11" fillId="28" borderId="14" xfId="0" applyFont="1" applyFill="1" applyBorder="1" applyAlignment="1" applyProtection="1">
      <alignment horizontal="center"/>
      <protection locked="0"/>
    </xf>
    <xf numFmtId="0" fontId="25" fillId="24" borderId="0" xfId="0" applyFont="1" applyFill="1" applyAlignment="1">
      <alignment horizontal="center"/>
    </xf>
    <xf numFmtId="0" fontId="11" fillId="24" borderId="0" xfId="0" applyFont="1" applyFill="1" applyAlignment="1" applyProtection="1">
      <alignment horizontal="center"/>
      <protection locked="0"/>
    </xf>
    <xf numFmtId="192" fontId="11" fillId="24" borderId="0" xfId="0" applyNumberFormat="1" applyFont="1" applyFill="1" applyAlignment="1" applyProtection="1">
      <alignment horizontal="center"/>
      <protection locked="0"/>
    </xf>
    <xf numFmtId="209" fontId="11" fillId="24" borderId="0" xfId="0" applyNumberFormat="1" applyFont="1" applyFill="1" applyAlignment="1">
      <alignment horizontal="center"/>
    </xf>
    <xf numFmtId="10" fontId="11" fillId="24" borderId="0" xfId="1" applyNumberFormat="1" applyFont="1" applyFill="1" applyAlignment="1">
      <alignment horizontal="center"/>
    </xf>
    <xf numFmtId="194" fontId="11" fillId="24" borderId="0" xfId="0" applyNumberFormat="1" applyFont="1" applyFill="1" applyAlignment="1" applyProtection="1">
      <alignment horizontal="center"/>
      <protection locked="0"/>
    </xf>
    <xf numFmtId="10" fontId="11" fillId="21" borderId="35" xfId="1" applyNumberFormat="1" applyFont="1" applyFill="1" applyBorder="1" applyAlignment="1">
      <alignment horizontal="center"/>
    </xf>
    <xf numFmtId="10" fontId="11" fillId="21" borderId="36" xfId="1" applyNumberFormat="1" applyFont="1" applyFill="1" applyBorder="1" applyAlignment="1">
      <alignment horizontal="center"/>
    </xf>
    <xf numFmtId="0" fontId="25" fillId="25" borderId="9" xfId="0" applyFont="1" applyFill="1" applyBorder="1" applyAlignment="1">
      <alignment horizontal="center"/>
    </xf>
    <xf numFmtId="0" fontId="25" fillId="25" borderId="32" xfId="0" applyFont="1" applyFill="1" applyBorder="1" applyAlignment="1">
      <alignment horizontal="center"/>
    </xf>
    <xf numFmtId="194" fontId="11" fillId="30" borderId="37" xfId="0" applyNumberFormat="1" applyFont="1" applyFill="1" applyBorder="1" applyAlignment="1">
      <alignment horizontal="center"/>
    </xf>
    <xf numFmtId="194" fontId="11" fillId="30" borderId="38" xfId="0" applyNumberFormat="1" applyFont="1" applyFill="1" applyBorder="1" applyAlignment="1">
      <alignment horizontal="center"/>
    </xf>
    <xf numFmtId="194" fontId="11" fillId="15" borderId="35" xfId="0" applyNumberFormat="1" applyFont="1" applyFill="1" applyBorder="1" applyAlignment="1" applyProtection="1">
      <alignment horizontal="center"/>
      <protection locked="0"/>
    </xf>
    <xf numFmtId="194" fontId="11" fillId="15" borderId="36" xfId="0" applyNumberFormat="1" applyFont="1" applyFill="1" applyBorder="1" applyAlignment="1" applyProtection="1">
      <alignment horizontal="center"/>
      <protection locked="0"/>
    </xf>
    <xf numFmtId="194" fontId="11" fillId="21" borderId="35" xfId="0" applyNumberFormat="1" applyFont="1" applyFill="1" applyBorder="1" applyAlignment="1">
      <alignment horizontal="center"/>
    </xf>
    <xf numFmtId="194" fontId="11" fillId="21" borderId="36" xfId="0" applyNumberFormat="1" applyFont="1" applyFill="1" applyBorder="1" applyAlignment="1">
      <alignment horizontal="center"/>
    </xf>
    <xf numFmtId="194" fontId="11" fillId="21" borderId="37" xfId="0" applyNumberFormat="1" applyFont="1" applyFill="1" applyBorder="1" applyAlignment="1">
      <alignment horizontal="center"/>
    </xf>
    <xf numFmtId="194" fontId="11" fillId="21" borderId="38" xfId="0" applyNumberFormat="1" applyFont="1" applyFill="1" applyBorder="1" applyAlignment="1">
      <alignment horizontal="center"/>
    </xf>
    <xf numFmtId="209" fontId="11" fillId="25" borderId="5" xfId="0" applyNumberFormat="1" applyFont="1" applyFill="1" applyBorder="1" applyAlignment="1">
      <alignment horizontal="center"/>
    </xf>
    <xf numFmtId="209" fontId="11" fillId="25" borderId="13" xfId="0" applyNumberFormat="1" applyFont="1" applyFill="1" applyBorder="1" applyAlignment="1">
      <alignment horizontal="center"/>
    </xf>
    <xf numFmtId="194" fontId="11" fillId="25" borderId="37" xfId="0" applyNumberFormat="1" applyFont="1" applyFill="1" applyBorder="1" applyAlignment="1">
      <alignment horizontal="center"/>
    </xf>
    <xf numFmtId="194" fontId="11" fillId="25" borderId="38" xfId="0" applyNumberFormat="1" applyFont="1" applyFill="1" applyBorder="1" applyAlignment="1">
      <alignment horizontal="center"/>
    </xf>
    <xf numFmtId="0" fontId="11" fillId="28" borderId="5" xfId="0" applyFont="1" applyFill="1" applyBorder="1" applyAlignment="1" applyProtection="1">
      <alignment horizontal="center"/>
      <protection locked="0"/>
    </xf>
    <xf numFmtId="0" fontId="11" fillId="28" borderId="13" xfId="0" applyFont="1" applyFill="1" applyBorder="1" applyAlignment="1" applyProtection="1">
      <alignment horizontal="center"/>
      <protection locked="0"/>
    </xf>
    <xf numFmtId="192" fontId="11" fillId="27" borderId="5" xfId="0" applyNumberFormat="1" applyFont="1" applyFill="1" applyBorder="1" applyAlignment="1" applyProtection="1">
      <alignment horizontal="center"/>
      <protection locked="0"/>
    </xf>
    <xf numFmtId="192" fontId="11" fillId="27" borderId="13" xfId="0" applyNumberFormat="1" applyFont="1" applyFill="1" applyBorder="1" applyAlignment="1" applyProtection="1">
      <alignment horizontal="center"/>
      <protection locked="0"/>
    </xf>
    <xf numFmtId="14" fontId="14" fillId="6" borderId="44" xfId="0" applyNumberFormat="1" applyFont="1" applyFill="1" applyBorder="1" applyAlignment="1" applyProtection="1">
      <alignment horizontal="center"/>
      <protection locked="0"/>
    </xf>
    <xf numFmtId="0" fontId="46" fillId="41" borderId="0" xfId="5" applyAlignment="1">
      <alignment horizontal="center"/>
    </xf>
    <xf numFmtId="0" fontId="0" fillId="37" borderId="0" xfId="0" applyFill="1" applyAlignment="1">
      <alignment horizontal="center"/>
    </xf>
    <xf numFmtId="0" fontId="31" fillId="26" borderId="7" xfId="0" applyFont="1" applyFill="1" applyBorder="1" applyAlignment="1">
      <alignment horizontal="center"/>
    </xf>
    <xf numFmtId="0" fontId="31" fillId="26" borderId="12" xfId="0" applyFont="1" applyFill="1" applyBorder="1" applyAlignment="1">
      <alignment horizontal="center"/>
    </xf>
    <xf numFmtId="0" fontId="33" fillId="34" borderId="0" xfId="0" applyFont="1" applyFill="1" applyAlignment="1">
      <alignment horizontal="center" wrapText="1"/>
    </xf>
    <xf numFmtId="0" fontId="27" fillId="32" borderId="51" xfId="0" applyFont="1" applyFill="1" applyBorder="1" applyAlignment="1">
      <alignment horizontal="center"/>
    </xf>
    <xf numFmtId="0" fontId="27" fillId="32" borderId="52" xfId="0" applyFont="1" applyFill="1" applyBorder="1" applyAlignment="1">
      <alignment horizontal="center"/>
    </xf>
    <xf numFmtId="0" fontId="33" fillId="25" borderId="47" xfId="0" applyFont="1" applyFill="1" applyBorder="1" applyAlignment="1">
      <alignment horizontal="center" wrapText="1"/>
    </xf>
    <xf numFmtId="0" fontId="33" fillId="25" borderId="48" xfId="0" applyFont="1" applyFill="1" applyBorder="1" applyAlignment="1">
      <alignment horizontal="center" wrapText="1"/>
    </xf>
    <xf numFmtId="0" fontId="33" fillId="25" borderId="49" xfId="0" applyFont="1" applyFill="1" applyBorder="1" applyAlignment="1">
      <alignment horizontal="center" wrapText="1"/>
    </xf>
    <xf numFmtId="0" fontId="33" fillId="25" borderId="50" xfId="0" applyFont="1" applyFill="1" applyBorder="1" applyAlignment="1">
      <alignment horizontal="center" wrapText="1"/>
    </xf>
    <xf numFmtId="0" fontId="26" fillId="21" borderId="0" xfId="0" applyFont="1" applyFill="1" applyAlignment="1">
      <alignment horizontal="center"/>
    </xf>
    <xf numFmtId="0" fontId="33" fillId="34" borderId="0" xfId="0" applyFont="1" applyFill="1" applyAlignment="1">
      <alignment horizontal="center" vertical="center" wrapText="1"/>
    </xf>
    <xf numFmtId="0" fontId="33" fillId="34" borderId="27" xfId="0" applyFont="1" applyFill="1" applyBorder="1" applyAlignment="1">
      <alignment horizontal="center" vertical="center" wrapText="1"/>
    </xf>
    <xf numFmtId="0" fontId="21" fillId="0" borderId="0" xfId="0" applyFont="1" applyAlignment="1">
      <alignment horizontal="center"/>
    </xf>
  </cellXfs>
  <cellStyles count="7">
    <cellStyle name="Akzent5" xfId="4" builtinId="45"/>
    <cellStyle name="Akzent6" xfId="5" builtinId="49"/>
    <cellStyle name="Prozent" xfId="1" builtinId="5"/>
    <cellStyle name="Standard" xfId="0" builtinId="0"/>
    <cellStyle name="Standard_Tabelle1" xfId="2" xr:uid="{00000000-0005-0000-0000-000002000000}"/>
    <cellStyle name="Währung" xfId="3" builtinId="4"/>
    <cellStyle name="Währung 2" xfId="6" xr:uid="{61DDFECB-BF4A-4C67-908B-378DF48649A2}"/>
  </cellStyles>
  <dxfs count="42">
    <dxf>
      <font>
        <strike val="0"/>
        <outline val="0"/>
        <shadow val="0"/>
        <u val="none"/>
        <vertAlign val="baseline"/>
        <sz val="8"/>
        <name val="Calibri Light"/>
        <scheme val="major"/>
      </font>
    </dxf>
    <dxf>
      <font>
        <strike val="0"/>
        <outline val="0"/>
        <shadow val="0"/>
        <u val="none"/>
        <vertAlign val="baseline"/>
        <sz val="8"/>
        <name val="Calibri Light"/>
        <scheme val="major"/>
      </font>
    </dxf>
    <dxf>
      <font>
        <strike val="0"/>
        <outline val="0"/>
        <shadow val="0"/>
        <u val="none"/>
        <vertAlign val="baseline"/>
        <sz val="8"/>
        <name val="Calibri Light"/>
        <scheme val="major"/>
      </font>
      <fill>
        <patternFill patternType="solid">
          <fgColor indexed="64"/>
          <bgColor theme="0" tint="-0.249977111117893"/>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color theme="1" tint="0.499984740745262"/>
      </font>
      <fill>
        <patternFill>
          <bgColor theme="1" tint="0.499984740745262"/>
        </patternFill>
      </fill>
      <border>
        <left/>
        <right/>
        <top/>
        <bottom/>
        <vertical/>
        <horizontal/>
      </border>
    </dxf>
    <dxf>
      <font>
        <b/>
        <i val="0"/>
        <color theme="0"/>
      </font>
      <fill>
        <patternFill>
          <fgColor rgb="FFFF0000"/>
          <bgColor rgb="FFFF0000"/>
        </patternFill>
      </fill>
    </dxf>
    <dxf>
      <font>
        <color theme="1" tint="0.499984740745262"/>
      </font>
      <fill>
        <patternFill>
          <bgColor theme="1"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ont>
        <b/>
        <i val="0"/>
        <color theme="0"/>
      </font>
      <fill>
        <patternFill>
          <bgColor rgb="FFFF0000"/>
        </patternFill>
      </fill>
    </dxf>
    <dxf>
      <font>
        <color theme="2" tint="-0.24994659260841701"/>
      </font>
      <fill>
        <patternFill>
          <fgColor theme="0"/>
        </patternFill>
      </fill>
    </dxf>
    <dxf>
      <font>
        <b/>
        <i val="0"/>
        <condense val="0"/>
        <extend val="0"/>
        <color indexed="9"/>
      </font>
      <fill>
        <patternFill>
          <bgColor indexed="10"/>
        </patternFill>
      </fill>
    </dxf>
    <dxf>
      <font>
        <b/>
        <i val="0"/>
        <condense val="0"/>
        <extend val="0"/>
        <color auto="1"/>
      </font>
      <fill>
        <patternFill>
          <bgColor indexed="50"/>
        </patternFill>
      </fill>
    </dxf>
    <dxf>
      <font>
        <b/>
        <i val="0"/>
        <condense val="0"/>
        <extend val="0"/>
        <color indexed="9"/>
      </font>
      <fill>
        <patternFill>
          <bgColor indexed="10"/>
        </patternFill>
      </fill>
    </dxf>
    <dxf>
      <font>
        <b/>
        <i val="0"/>
        <condense val="0"/>
        <extend val="0"/>
        <color auto="1"/>
      </font>
      <fill>
        <patternFill>
          <bgColor indexed="50"/>
        </patternFill>
      </fill>
    </dxf>
    <dxf>
      <font>
        <color theme="2" tint="-0.24994659260841701"/>
      </font>
      <fill>
        <patternFill>
          <fgColor theme="0"/>
        </patternFill>
      </fill>
    </dxf>
    <dxf>
      <font>
        <b val="0"/>
        <i val="0"/>
        <color theme="1" tint="0.499984740745262"/>
      </font>
      <fill>
        <patternFill>
          <bgColor theme="1" tint="0.499984740745262"/>
        </patternFill>
      </fill>
      <border>
        <left/>
        <right/>
        <top/>
        <bottom/>
        <vertical/>
        <horizontal/>
      </border>
    </dxf>
    <dxf>
      <font>
        <color theme="1" tint="0.499984740745262"/>
      </font>
      <fill>
        <patternFill patternType="solid">
          <fgColor indexed="64"/>
          <bgColor theme="1" tint="0.499984740745262"/>
        </patternFill>
      </fill>
      <border>
        <left/>
        <right/>
        <top/>
        <bottom/>
        <vertical/>
        <horizontal/>
      </border>
    </dxf>
    <dxf>
      <font>
        <b/>
        <i val="0"/>
        <condense val="0"/>
        <extend val="0"/>
        <color indexed="9"/>
      </font>
      <fill>
        <patternFill>
          <bgColor indexed="10"/>
        </patternFill>
      </fill>
    </dxf>
    <dxf>
      <font>
        <b/>
        <i val="0"/>
        <condense val="0"/>
        <extend val="0"/>
        <color auto="1"/>
      </font>
      <fill>
        <patternFill>
          <bgColor indexed="50"/>
        </patternFill>
      </fill>
    </dxf>
    <dxf>
      <font>
        <b/>
        <i val="0"/>
        <condense val="0"/>
        <extend val="0"/>
        <color indexed="9"/>
      </font>
      <fill>
        <patternFill>
          <bgColor indexed="10"/>
        </patternFill>
      </fill>
    </dxf>
    <dxf>
      <font>
        <b/>
        <i val="0"/>
        <condense val="0"/>
        <extend val="0"/>
        <color auto="1"/>
      </font>
      <fill>
        <patternFill>
          <bgColor indexed="50"/>
        </patternFill>
      </fill>
    </dxf>
    <dxf>
      <font>
        <color theme="1" tint="0.499984740745262"/>
      </font>
      <fill>
        <patternFill>
          <bgColor theme="1" tint="0.499984740745262"/>
        </patternFill>
      </fill>
      <border>
        <left/>
        <right/>
        <top/>
        <bottom/>
        <vertical/>
        <horizontal/>
      </border>
    </dxf>
    <dxf>
      <font>
        <b/>
        <i val="0"/>
        <color theme="0"/>
      </font>
      <fill>
        <patternFill>
          <fgColor rgb="FFFF0000"/>
          <bgColor rgb="FFFF0000"/>
        </patternFill>
      </fill>
    </dxf>
    <dxf>
      <font>
        <color theme="1" tint="0.499984740745262"/>
      </font>
      <fill>
        <patternFill>
          <bgColor theme="1" tint="0.499984740745262"/>
        </patternFill>
      </fill>
      <border>
        <left/>
        <right/>
        <top/>
        <bottom/>
        <vertical/>
        <horizontal/>
      </border>
    </dxf>
    <dxf>
      <font>
        <color theme="1" tint="0.499984740745262"/>
      </font>
      <fill>
        <patternFill>
          <bgColor theme="1" tint="0.499984740745262"/>
        </patternFill>
      </fill>
      <border>
        <left/>
        <right/>
        <top/>
        <bottom/>
        <vertical/>
        <horizontal/>
      </border>
    </dxf>
    <dxf>
      <font>
        <b/>
        <i val="0"/>
        <color theme="0"/>
      </font>
      <fill>
        <patternFill>
          <bgColor rgb="FFFF0000"/>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color theme="1" tint="0.499984740745262"/>
      </font>
      <fill>
        <patternFill>
          <bgColor theme="1" tint="0.499984740745262"/>
        </patternFill>
      </fill>
      <border>
        <left/>
        <right/>
        <top/>
        <bottom/>
        <vertical/>
        <horizontal/>
      </border>
    </dxf>
    <dxf>
      <numFmt numFmtId="217" formatCode="0.000\ &quot;€/km&quot;"/>
    </dxf>
    <dxf>
      <numFmt numFmtId="217" formatCode="0.000\ &quot;€/km&quot;"/>
    </dxf>
    <dxf>
      <font>
        <color theme="2" tint="-0.24994659260841701"/>
      </font>
      <fill>
        <patternFill>
          <fgColor theme="0"/>
        </patternFill>
      </fill>
    </dxf>
    <dxf>
      <font>
        <b/>
        <i val="0"/>
        <condense val="0"/>
        <extend val="0"/>
        <color indexed="9"/>
      </font>
      <fill>
        <patternFill>
          <bgColor indexed="10"/>
        </patternFill>
      </fill>
    </dxf>
    <dxf>
      <font>
        <b/>
        <i val="0"/>
        <condense val="0"/>
        <extend val="0"/>
        <color auto="1"/>
      </font>
      <fill>
        <patternFill>
          <bgColor indexed="50"/>
        </patternFill>
      </fill>
    </dxf>
    <dxf>
      <font>
        <b/>
        <i val="0"/>
        <condense val="0"/>
        <extend val="0"/>
        <color indexed="9"/>
      </font>
      <fill>
        <patternFill>
          <bgColor indexed="10"/>
        </patternFill>
      </fill>
    </dxf>
    <dxf>
      <font>
        <b/>
        <i val="0"/>
        <condense val="0"/>
        <extend val="0"/>
        <color auto="1"/>
      </font>
      <fill>
        <patternFill>
          <bgColor indexed="50"/>
        </patternFill>
      </fill>
    </dxf>
    <dxf>
      <font>
        <color theme="2" tint="-0.24994659260841701"/>
      </font>
      <fill>
        <patternFill>
          <fgColor theme="0"/>
        </patternFill>
      </fill>
    </dxf>
    <dxf>
      <font>
        <color theme="1" tint="0.499984740745262"/>
      </font>
      <fill>
        <patternFill patternType="solid">
          <fgColor indexed="64"/>
          <bgColor theme="1" tint="0.499984740745262"/>
        </patternFill>
      </fill>
      <border>
        <left/>
        <right/>
        <top/>
        <bottom/>
        <vertical/>
        <horizontal/>
      </border>
    </dxf>
    <dxf>
      <font>
        <b/>
        <i val="0"/>
        <condense val="0"/>
        <extend val="0"/>
        <color indexed="9"/>
      </font>
      <fill>
        <patternFill>
          <bgColor indexed="10"/>
        </patternFill>
      </fill>
    </dxf>
    <dxf>
      <font>
        <b/>
        <i val="0"/>
        <condense val="0"/>
        <extend val="0"/>
        <color auto="1"/>
      </font>
      <fill>
        <patternFill>
          <bgColor indexed="50"/>
        </patternFill>
      </fill>
    </dxf>
    <dxf>
      <font>
        <b/>
        <i val="0"/>
        <condense val="0"/>
        <extend val="0"/>
        <color indexed="9"/>
      </font>
      <fill>
        <patternFill>
          <bgColor indexed="10"/>
        </patternFill>
      </fill>
    </dxf>
    <dxf>
      <font>
        <b/>
        <i val="0"/>
        <condense val="0"/>
        <extend val="0"/>
        <color auto="1"/>
      </font>
      <fill>
        <patternFill>
          <bgColor indexed="50"/>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1</xdr:col>
      <xdr:colOff>571500</xdr:colOff>
      <xdr:row>1</xdr:row>
      <xdr:rowOff>152400</xdr:rowOff>
    </xdr:to>
    <xdr:pic>
      <xdr:nvPicPr>
        <xdr:cNvPr id="2" name="Picture 13" descr="Ulbrich_SolarTech_Logo">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76200"/>
          <a:ext cx="5715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1</xdr:col>
      <xdr:colOff>571500</xdr:colOff>
      <xdr:row>1</xdr:row>
      <xdr:rowOff>57150</xdr:rowOff>
    </xdr:to>
    <xdr:pic>
      <xdr:nvPicPr>
        <xdr:cNvPr id="2269" name="Picture 13" descr="Ulbrich_SolarTech_Logo">
          <a:extLst>
            <a:ext uri="{FF2B5EF4-FFF2-40B4-BE49-F238E27FC236}">
              <a16:creationId xmlns:a16="http://schemas.microsoft.com/office/drawing/2014/main" id="{00000000-0008-0000-0300-0000DD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76200"/>
          <a:ext cx="5715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ntwicklung/extern/Pollex/2021-11_Projekt%20Aigner%20Kisten/files/Entwicklungsdateien/Bsp-Mapping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 val="Mapping"/>
    </sheetNames>
    <sheetDataSet>
      <sheetData sheetId="0">
        <row r="1">
          <cell r="A1" t="str">
            <v>Testkunde</v>
          </cell>
        </row>
        <row r="2">
          <cell r="V2">
            <v>43.97</v>
          </cell>
        </row>
        <row r="7">
          <cell r="A7">
            <v>5</v>
          </cell>
        </row>
      </sheetData>
      <sheetData sheetId="1"/>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3" displayName="Tabelle3" ref="B4:B19" totalsRowShown="0" headerRowDxfId="2" dataDxfId="1">
  <autoFilter ref="B4:B19" xr:uid="{00000000-0009-0000-0100-000001000000}"/>
  <tableColumns count="1">
    <tableColumn id="1" xr3:uid="{00000000-0010-0000-0000-000001000000}" name="Einhei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1.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5">
    <tabColor theme="8"/>
  </sheetPr>
  <dimension ref="A2:Q127"/>
  <sheetViews>
    <sheetView workbookViewId="0">
      <selection activeCell="B17" sqref="B17"/>
    </sheetView>
  </sheetViews>
  <sheetFormatPr baseColWidth="10" defaultRowHeight="12.75" x14ac:dyDescent="0.2"/>
  <cols>
    <col min="2" max="2" width="30.7109375" customWidth="1"/>
    <col min="3" max="3" width="17.85546875" style="324" customWidth="1"/>
    <col min="4" max="4" width="15.28515625" style="324" customWidth="1"/>
    <col min="5" max="5" width="17" style="324" customWidth="1"/>
    <col min="6" max="6" width="16.28515625" style="324" customWidth="1"/>
    <col min="7" max="7" width="14.140625" style="324" customWidth="1"/>
    <col min="8" max="10" width="13" style="324" customWidth="1"/>
    <col min="11" max="11" width="16.42578125" style="324" bestFit="1" customWidth="1"/>
    <col min="12" max="12" width="13" style="324" customWidth="1"/>
    <col min="13" max="13" width="14.85546875" style="324" customWidth="1"/>
    <col min="14" max="14" width="11.42578125" style="324"/>
    <col min="15" max="15" width="16" style="324" customWidth="1"/>
    <col min="16" max="16" width="14.140625" style="324" customWidth="1"/>
    <col min="258" max="258" width="25.85546875" customWidth="1"/>
    <col min="259" max="259" width="20.28515625" bestFit="1" customWidth="1"/>
    <col min="260" max="260" width="20.28515625" customWidth="1"/>
    <col min="261" max="261" width="16.28515625" customWidth="1"/>
    <col min="264" max="266" width="13" customWidth="1"/>
    <col min="267" max="267" width="14.28515625" bestFit="1" customWidth="1"/>
    <col min="268" max="268" width="13" customWidth="1"/>
    <col min="269" max="269" width="14.85546875" customWidth="1"/>
    <col min="271" max="271" width="16" customWidth="1"/>
    <col min="272" max="272" width="14.140625" customWidth="1"/>
    <col min="514" max="514" width="25.85546875" customWidth="1"/>
    <col min="515" max="515" width="20.28515625" bestFit="1" customWidth="1"/>
    <col min="516" max="516" width="20.28515625" customWidth="1"/>
    <col min="517" max="517" width="16.28515625" customWidth="1"/>
    <col min="520" max="522" width="13" customWidth="1"/>
    <col min="523" max="523" width="14.28515625" bestFit="1" customWidth="1"/>
    <col min="524" max="524" width="13" customWidth="1"/>
    <col min="525" max="525" width="14.85546875" customWidth="1"/>
    <col min="527" max="527" width="16" customWidth="1"/>
    <col min="528" max="528" width="14.140625" customWidth="1"/>
    <col min="770" max="770" width="25.85546875" customWidth="1"/>
    <col min="771" max="771" width="20.28515625" bestFit="1" customWidth="1"/>
    <col min="772" max="772" width="20.28515625" customWidth="1"/>
    <col min="773" max="773" width="16.28515625" customWidth="1"/>
    <col min="776" max="778" width="13" customWidth="1"/>
    <col min="779" max="779" width="14.28515625" bestFit="1" customWidth="1"/>
    <col min="780" max="780" width="13" customWidth="1"/>
    <col min="781" max="781" width="14.85546875" customWidth="1"/>
    <col min="783" max="783" width="16" customWidth="1"/>
    <col min="784" max="784" width="14.140625" customWidth="1"/>
    <col min="1026" max="1026" width="25.85546875" customWidth="1"/>
    <col min="1027" max="1027" width="20.28515625" bestFit="1" customWidth="1"/>
    <col min="1028" max="1028" width="20.28515625" customWidth="1"/>
    <col min="1029" max="1029" width="16.28515625" customWidth="1"/>
    <col min="1032" max="1034" width="13" customWidth="1"/>
    <col min="1035" max="1035" width="14.28515625" bestFit="1" customWidth="1"/>
    <col min="1036" max="1036" width="13" customWidth="1"/>
    <col min="1037" max="1037" width="14.85546875" customWidth="1"/>
    <col min="1039" max="1039" width="16" customWidth="1"/>
    <col min="1040" max="1040" width="14.140625" customWidth="1"/>
    <col min="1282" max="1282" width="25.85546875" customWidth="1"/>
    <col min="1283" max="1283" width="20.28515625" bestFit="1" customWidth="1"/>
    <col min="1284" max="1284" width="20.28515625" customWidth="1"/>
    <col min="1285" max="1285" width="16.28515625" customWidth="1"/>
    <col min="1288" max="1290" width="13" customWidth="1"/>
    <col min="1291" max="1291" width="14.28515625" bestFit="1" customWidth="1"/>
    <col min="1292" max="1292" width="13" customWidth="1"/>
    <col min="1293" max="1293" width="14.85546875" customWidth="1"/>
    <col min="1295" max="1295" width="16" customWidth="1"/>
    <col min="1296" max="1296" width="14.140625" customWidth="1"/>
    <col min="1538" max="1538" width="25.85546875" customWidth="1"/>
    <col min="1539" max="1539" width="20.28515625" bestFit="1" customWidth="1"/>
    <col min="1540" max="1540" width="20.28515625" customWidth="1"/>
    <col min="1541" max="1541" width="16.28515625" customWidth="1"/>
    <col min="1544" max="1546" width="13" customWidth="1"/>
    <col min="1547" max="1547" width="14.28515625" bestFit="1" customWidth="1"/>
    <col min="1548" max="1548" width="13" customWidth="1"/>
    <col min="1549" max="1549" width="14.85546875" customWidth="1"/>
    <col min="1551" max="1551" width="16" customWidth="1"/>
    <col min="1552" max="1552" width="14.140625" customWidth="1"/>
    <col min="1794" max="1794" width="25.85546875" customWidth="1"/>
    <col min="1795" max="1795" width="20.28515625" bestFit="1" customWidth="1"/>
    <col min="1796" max="1796" width="20.28515625" customWidth="1"/>
    <col min="1797" max="1797" width="16.28515625" customWidth="1"/>
    <col min="1800" max="1802" width="13" customWidth="1"/>
    <col min="1803" max="1803" width="14.28515625" bestFit="1" customWidth="1"/>
    <col min="1804" max="1804" width="13" customWidth="1"/>
    <col min="1805" max="1805" width="14.85546875" customWidth="1"/>
    <col min="1807" max="1807" width="16" customWidth="1"/>
    <col min="1808" max="1808" width="14.140625" customWidth="1"/>
    <col min="2050" max="2050" width="25.85546875" customWidth="1"/>
    <col min="2051" max="2051" width="20.28515625" bestFit="1" customWidth="1"/>
    <col min="2052" max="2052" width="20.28515625" customWidth="1"/>
    <col min="2053" max="2053" width="16.28515625" customWidth="1"/>
    <col min="2056" max="2058" width="13" customWidth="1"/>
    <col min="2059" max="2059" width="14.28515625" bestFit="1" customWidth="1"/>
    <col min="2060" max="2060" width="13" customWidth="1"/>
    <col min="2061" max="2061" width="14.85546875" customWidth="1"/>
    <col min="2063" max="2063" width="16" customWidth="1"/>
    <col min="2064" max="2064" width="14.140625" customWidth="1"/>
    <col min="2306" max="2306" width="25.85546875" customWidth="1"/>
    <col min="2307" max="2307" width="20.28515625" bestFit="1" customWidth="1"/>
    <col min="2308" max="2308" width="20.28515625" customWidth="1"/>
    <col min="2309" max="2309" width="16.28515625" customWidth="1"/>
    <col min="2312" max="2314" width="13" customWidth="1"/>
    <col min="2315" max="2315" width="14.28515625" bestFit="1" customWidth="1"/>
    <col min="2316" max="2316" width="13" customWidth="1"/>
    <col min="2317" max="2317" width="14.85546875" customWidth="1"/>
    <col min="2319" max="2319" width="16" customWidth="1"/>
    <col min="2320" max="2320" width="14.140625" customWidth="1"/>
    <col min="2562" max="2562" width="25.85546875" customWidth="1"/>
    <col min="2563" max="2563" width="20.28515625" bestFit="1" customWidth="1"/>
    <col min="2564" max="2564" width="20.28515625" customWidth="1"/>
    <col min="2565" max="2565" width="16.28515625" customWidth="1"/>
    <col min="2568" max="2570" width="13" customWidth="1"/>
    <col min="2571" max="2571" width="14.28515625" bestFit="1" customWidth="1"/>
    <col min="2572" max="2572" width="13" customWidth="1"/>
    <col min="2573" max="2573" width="14.85546875" customWidth="1"/>
    <col min="2575" max="2575" width="16" customWidth="1"/>
    <col min="2576" max="2576" width="14.140625" customWidth="1"/>
    <col min="2818" max="2818" width="25.85546875" customWidth="1"/>
    <col min="2819" max="2819" width="20.28515625" bestFit="1" customWidth="1"/>
    <col min="2820" max="2820" width="20.28515625" customWidth="1"/>
    <col min="2821" max="2821" width="16.28515625" customWidth="1"/>
    <col min="2824" max="2826" width="13" customWidth="1"/>
    <col min="2827" max="2827" width="14.28515625" bestFit="1" customWidth="1"/>
    <col min="2828" max="2828" width="13" customWidth="1"/>
    <col min="2829" max="2829" width="14.85546875" customWidth="1"/>
    <col min="2831" max="2831" width="16" customWidth="1"/>
    <col min="2832" max="2832" width="14.140625" customWidth="1"/>
    <col min="3074" max="3074" width="25.85546875" customWidth="1"/>
    <col min="3075" max="3075" width="20.28515625" bestFit="1" customWidth="1"/>
    <col min="3076" max="3076" width="20.28515625" customWidth="1"/>
    <col min="3077" max="3077" width="16.28515625" customWidth="1"/>
    <col min="3080" max="3082" width="13" customWidth="1"/>
    <col min="3083" max="3083" width="14.28515625" bestFit="1" customWidth="1"/>
    <col min="3084" max="3084" width="13" customWidth="1"/>
    <col min="3085" max="3085" width="14.85546875" customWidth="1"/>
    <col min="3087" max="3087" width="16" customWidth="1"/>
    <col min="3088" max="3088" width="14.140625" customWidth="1"/>
    <col min="3330" max="3330" width="25.85546875" customWidth="1"/>
    <col min="3331" max="3331" width="20.28515625" bestFit="1" customWidth="1"/>
    <col min="3332" max="3332" width="20.28515625" customWidth="1"/>
    <col min="3333" max="3333" width="16.28515625" customWidth="1"/>
    <col min="3336" max="3338" width="13" customWidth="1"/>
    <col min="3339" max="3339" width="14.28515625" bestFit="1" customWidth="1"/>
    <col min="3340" max="3340" width="13" customWidth="1"/>
    <col min="3341" max="3341" width="14.85546875" customWidth="1"/>
    <col min="3343" max="3343" width="16" customWidth="1"/>
    <col min="3344" max="3344" width="14.140625" customWidth="1"/>
    <col min="3586" max="3586" width="25.85546875" customWidth="1"/>
    <col min="3587" max="3587" width="20.28515625" bestFit="1" customWidth="1"/>
    <col min="3588" max="3588" width="20.28515625" customWidth="1"/>
    <col min="3589" max="3589" width="16.28515625" customWidth="1"/>
    <col min="3592" max="3594" width="13" customWidth="1"/>
    <col min="3595" max="3595" width="14.28515625" bestFit="1" customWidth="1"/>
    <col min="3596" max="3596" width="13" customWidth="1"/>
    <col min="3597" max="3597" width="14.85546875" customWidth="1"/>
    <col min="3599" max="3599" width="16" customWidth="1"/>
    <col min="3600" max="3600" width="14.140625" customWidth="1"/>
    <col min="3842" max="3842" width="25.85546875" customWidth="1"/>
    <col min="3843" max="3843" width="20.28515625" bestFit="1" customWidth="1"/>
    <col min="3844" max="3844" width="20.28515625" customWidth="1"/>
    <col min="3845" max="3845" width="16.28515625" customWidth="1"/>
    <col min="3848" max="3850" width="13" customWidth="1"/>
    <col min="3851" max="3851" width="14.28515625" bestFit="1" customWidth="1"/>
    <col min="3852" max="3852" width="13" customWidth="1"/>
    <col min="3853" max="3853" width="14.85546875" customWidth="1"/>
    <col min="3855" max="3855" width="16" customWidth="1"/>
    <col min="3856" max="3856" width="14.140625" customWidth="1"/>
    <col min="4098" max="4098" width="25.85546875" customWidth="1"/>
    <col min="4099" max="4099" width="20.28515625" bestFit="1" customWidth="1"/>
    <col min="4100" max="4100" width="20.28515625" customWidth="1"/>
    <col min="4101" max="4101" width="16.28515625" customWidth="1"/>
    <col min="4104" max="4106" width="13" customWidth="1"/>
    <col min="4107" max="4107" width="14.28515625" bestFit="1" customWidth="1"/>
    <col min="4108" max="4108" width="13" customWidth="1"/>
    <col min="4109" max="4109" width="14.85546875" customWidth="1"/>
    <col min="4111" max="4111" width="16" customWidth="1"/>
    <col min="4112" max="4112" width="14.140625" customWidth="1"/>
    <col min="4354" max="4354" width="25.85546875" customWidth="1"/>
    <col min="4355" max="4355" width="20.28515625" bestFit="1" customWidth="1"/>
    <col min="4356" max="4356" width="20.28515625" customWidth="1"/>
    <col min="4357" max="4357" width="16.28515625" customWidth="1"/>
    <col min="4360" max="4362" width="13" customWidth="1"/>
    <col min="4363" max="4363" width="14.28515625" bestFit="1" customWidth="1"/>
    <col min="4364" max="4364" width="13" customWidth="1"/>
    <col min="4365" max="4365" width="14.85546875" customWidth="1"/>
    <col min="4367" max="4367" width="16" customWidth="1"/>
    <col min="4368" max="4368" width="14.140625" customWidth="1"/>
    <col min="4610" max="4610" width="25.85546875" customWidth="1"/>
    <col min="4611" max="4611" width="20.28515625" bestFit="1" customWidth="1"/>
    <col min="4612" max="4612" width="20.28515625" customWidth="1"/>
    <col min="4613" max="4613" width="16.28515625" customWidth="1"/>
    <col min="4616" max="4618" width="13" customWidth="1"/>
    <col min="4619" max="4619" width="14.28515625" bestFit="1" customWidth="1"/>
    <col min="4620" max="4620" width="13" customWidth="1"/>
    <col min="4621" max="4621" width="14.85546875" customWidth="1"/>
    <col min="4623" max="4623" width="16" customWidth="1"/>
    <col min="4624" max="4624" width="14.140625" customWidth="1"/>
    <col min="4866" max="4866" width="25.85546875" customWidth="1"/>
    <col min="4867" max="4867" width="20.28515625" bestFit="1" customWidth="1"/>
    <col min="4868" max="4868" width="20.28515625" customWidth="1"/>
    <col min="4869" max="4869" width="16.28515625" customWidth="1"/>
    <col min="4872" max="4874" width="13" customWidth="1"/>
    <col min="4875" max="4875" width="14.28515625" bestFit="1" customWidth="1"/>
    <col min="4876" max="4876" width="13" customWidth="1"/>
    <col min="4877" max="4877" width="14.85546875" customWidth="1"/>
    <col min="4879" max="4879" width="16" customWidth="1"/>
    <col min="4880" max="4880" width="14.140625" customWidth="1"/>
    <col min="5122" max="5122" width="25.85546875" customWidth="1"/>
    <col min="5123" max="5123" width="20.28515625" bestFit="1" customWidth="1"/>
    <col min="5124" max="5124" width="20.28515625" customWidth="1"/>
    <col min="5125" max="5125" width="16.28515625" customWidth="1"/>
    <col min="5128" max="5130" width="13" customWidth="1"/>
    <col min="5131" max="5131" width="14.28515625" bestFit="1" customWidth="1"/>
    <col min="5132" max="5132" width="13" customWidth="1"/>
    <col min="5133" max="5133" width="14.85546875" customWidth="1"/>
    <col min="5135" max="5135" width="16" customWidth="1"/>
    <col min="5136" max="5136" width="14.140625" customWidth="1"/>
    <col min="5378" max="5378" width="25.85546875" customWidth="1"/>
    <col min="5379" max="5379" width="20.28515625" bestFit="1" customWidth="1"/>
    <col min="5380" max="5380" width="20.28515625" customWidth="1"/>
    <col min="5381" max="5381" width="16.28515625" customWidth="1"/>
    <col min="5384" max="5386" width="13" customWidth="1"/>
    <col min="5387" max="5387" width="14.28515625" bestFit="1" customWidth="1"/>
    <col min="5388" max="5388" width="13" customWidth="1"/>
    <col min="5389" max="5389" width="14.85546875" customWidth="1"/>
    <col min="5391" max="5391" width="16" customWidth="1"/>
    <col min="5392" max="5392" width="14.140625" customWidth="1"/>
    <col min="5634" max="5634" width="25.85546875" customWidth="1"/>
    <col min="5635" max="5635" width="20.28515625" bestFit="1" customWidth="1"/>
    <col min="5636" max="5636" width="20.28515625" customWidth="1"/>
    <col min="5637" max="5637" width="16.28515625" customWidth="1"/>
    <col min="5640" max="5642" width="13" customWidth="1"/>
    <col min="5643" max="5643" width="14.28515625" bestFit="1" customWidth="1"/>
    <col min="5644" max="5644" width="13" customWidth="1"/>
    <col min="5645" max="5645" width="14.85546875" customWidth="1"/>
    <col min="5647" max="5647" width="16" customWidth="1"/>
    <col min="5648" max="5648" width="14.140625" customWidth="1"/>
    <col min="5890" max="5890" width="25.85546875" customWidth="1"/>
    <col min="5891" max="5891" width="20.28515625" bestFit="1" customWidth="1"/>
    <col min="5892" max="5892" width="20.28515625" customWidth="1"/>
    <col min="5893" max="5893" width="16.28515625" customWidth="1"/>
    <col min="5896" max="5898" width="13" customWidth="1"/>
    <col min="5899" max="5899" width="14.28515625" bestFit="1" customWidth="1"/>
    <col min="5900" max="5900" width="13" customWidth="1"/>
    <col min="5901" max="5901" width="14.85546875" customWidth="1"/>
    <col min="5903" max="5903" width="16" customWidth="1"/>
    <col min="5904" max="5904" width="14.140625" customWidth="1"/>
    <col min="6146" max="6146" width="25.85546875" customWidth="1"/>
    <col min="6147" max="6147" width="20.28515625" bestFit="1" customWidth="1"/>
    <col min="6148" max="6148" width="20.28515625" customWidth="1"/>
    <col min="6149" max="6149" width="16.28515625" customWidth="1"/>
    <col min="6152" max="6154" width="13" customWidth="1"/>
    <col min="6155" max="6155" width="14.28515625" bestFit="1" customWidth="1"/>
    <col min="6156" max="6156" width="13" customWidth="1"/>
    <col min="6157" max="6157" width="14.85546875" customWidth="1"/>
    <col min="6159" max="6159" width="16" customWidth="1"/>
    <col min="6160" max="6160" width="14.140625" customWidth="1"/>
    <col min="6402" max="6402" width="25.85546875" customWidth="1"/>
    <col min="6403" max="6403" width="20.28515625" bestFit="1" customWidth="1"/>
    <col min="6404" max="6404" width="20.28515625" customWidth="1"/>
    <col min="6405" max="6405" width="16.28515625" customWidth="1"/>
    <col min="6408" max="6410" width="13" customWidth="1"/>
    <col min="6411" max="6411" width="14.28515625" bestFit="1" customWidth="1"/>
    <col min="6412" max="6412" width="13" customWidth="1"/>
    <col min="6413" max="6413" width="14.85546875" customWidth="1"/>
    <col min="6415" max="6415" width="16" customWidth="1"/>
    <col min="6416" max="6416" width="14.140625" customWidth="1"/>
    <col min="6658" max="6658" width="25.85546875" customWidth="1"/>
    <col min="6659" max="6659" width="20.28515625" bestFit="1" customWidth="1"/>
    <col min="6660" max="6660" width="20.28515625" customWidth="1"/>
    <col min="6661" max="6661" width="16.28515625" customWidth="1"/>
    <col min="6664" max="6666" width="13" customWidth="1"/>
    <col min="6667" max="6667" width="14.28515625" bestFit="1" customWidth="1"/>
    <col min="6668" max="6668" width="13" customWidth="1"/>
    <col min="6669" max="6669" width="14.85546875" customWidth="1"/>
    <col min="6671" max="6671" width="16" customWidth="1"/>
    <col min="6672" max="6672" width="14.140625" customWidth="1"/>
    <col min="6914" max="6914" width="25.85546875" customWidth="1"/>
    <col min="6915" max="6915" width="20.28515625" bestFit="1" customWidth="1"/>
    <col min="6916" max="6916" width="20.28515625" customWidth="1"/>
    <col min="6917" max="6917" width="16.28515625" customWidth="1"/>
    <col min="6920" max="6922" width="13" customWidth="1"/>
    <col min="6923" max="6923" width="14.28515625" bestFit="1" customWidth="1"/>
    <col min="6924" max="6924" width="13" customWidth="1"/>
    <col min="6925" max="6925" width="14.85546875" customWidth="1"/>
    <col min="6927" max="6927" width="16" customWidth="1"/>
    <col min="6928" max="6928" width="14.140625" customWidth="1"/>
    <col min="7170" max="7170" width="25.85546875" customWidth="1"/>
    <col min="7171" max="7171" width="20.28515625" bestFit="1" customWidth="1"/>
    <col min="7172" max="7172" width="20.28515625" customWidth="1"/>
    <col min="7173" max="7173" width="16.28515625" customWidth="1"/>
    <col min="7176" max="7178" width="13" customWidth="1"/>
    <col min="7179" max="7179" width="14.28515625" bestFit="1" customWidth="1"/>
    <col min="7180" max="7180" width="13" customWidth="1"/>
    <col min="7181" max="7181" width="14.85546875" customWidth="1"/>
    <col min="7183" max="7183" width="16" customWidth="1"/>
    <col min="7184" max="7184" width="14.140625" customWidth="1"/>
    <col min="7426" max="7426" width="25.85546875" customWidth="1"/>
    <col min="7427" max="7427" width="20.28515625" bestFit="1" customWidth="1"/>
    <col min="7428" max="7428" width="20.28515625" customWidth="1"/>
    <col min="7429" max="7429" width="16.28515625" customWidth="1"/>
    <col min="7432" max="7434" width="13" customWidth="1"/>
    <col min="7435" max="7435" width="14.28515625" bestFit="1" customWidth="1"/>
    <col min="7436" max="7436" width="13" customWidth="1"/>
    <col min="7437" max="7437" width="14.85546875" customWidth="1"/>
    <col min="7439" max="7439" width="16" customWidth="1"/>
    <col min="7440" max="7440" width="14.140625" customWidth="1"/>
    <col min="7682" max="7682" width="25.85546875" customWidth="1"/>
    <col min="7683" max="7683" width="20.28515625" bestFit="1" customWidth="1"/>
    <col min="7684" max="7684" width="20.28515625" customWidth="1"/>
    <col min="7685" max="7685" width="16.28515625" customWidth="1"/>
    <col min="7688" max="7690" width="13" customWidth="1"/>
    <col min="7691" max="7691" width="14.28515625" bestFit="1" customWidth="1"/>
    <col min="7692" max="7692" width="13" customWidth="1"/>
    <col min="7693" max="7693" width="14.85546875" customWidth="1"/>
    <col min="7695" max="7695" width="16" customWidth="1"/>
    <col min="7696" max="7696" width="14.140625" customWidth="1"/>
    <col min="7938" max="7938" width="25.85546875" customWidth="1"/>
    <col min="7939" max="7939" width="20.28515625" bestFit="1" customWidth="1"/>
    <col min="7940" max="7940" width="20.28515625" customWidth="1"/>
    <col min="7941" max="7941" width="16.28515625" customWidth="1"/>
    <col min="7944" max="7946" width="13" customWidth="1"/>
    <col min="7947" max="7947" width="14.28515625" bestFit="1" customWidth="1"/>
    <col min="7948" max="7948" width="13" customWidth="1"/>
    <col min="7949" max="7949" width="14.85546875" customWidth="1"/>
    <col min="7951" max="7951" width="16" customWidth="1"/>
    <col min="7952" max="7952" width="14.140625" customWidth="1"/>
    <col min="8194" max="8194" width="25.85546875" customWidth="1"/>
    <col min="8195" max="8195" width="20.28515625" bestFit="1" customWidth="1"/>
    <col min="8196" max="8196" width="20.28515625" customWidth="1"/>
    <col min="8197" max="8197" width="16.28515625" customWidth="1"/>
    <col min="8200" max="8202" width="13" customWidth="1"/>
    <col min="8203" max="8203" width="14.28515625" bestFit="1" customWidth="1"/>
    <col min="8204" max="8204" width="13" customWidth="1"/>
    <col min="8205" max="8205" width="14.85546875" customWidth="1"/>
    <col min="8207" max="8207" width="16" customWidth="1"/>
    <col min="8208" max="8208" width="14.140625" customWidth="1"/>
    <col min="8450" max="8450" width="25.85546875" customWidth="1"/>
    <col min="8451" max="8451" width="20.28515625" bestFit="1" customWidth="1"/>
    <col min="8452" max="8452" width="20.28515625" customWidth="1"/>
    <col min="8453" max="8453" width="16.28515625" customWidth="1"/>
    <col min="8456" max="8458" width="13" customWidth="1"/>
    <col min="8459" max="8459" width="14.28515625" bestFit="1" customWidth="1"/>
    <col min="8460" max="8460" width="13" customWidth="1"/>
    <col min="8461" max="8461" width="14.85546875" customWidth="1"/>
    <col min="8463" max="8463" width="16" customWidth="1"/>
    <col min="8464" max="8464" width="14.140625" customWidth="1"/>
    <col min="8706" max="8706" width="25.85546875" customWidth="1"/>
    <col min="8707" max="8707" width="20.28515625" bestFit="1" customWidth="1"/>
    <col min="8708" max="8708" width="20.28515625" customWidth="1"/>
    <col min="8709" max="8709" width="16.28515625" customWidth="1"/>
    <col min="8712" max="8714" width="13" customWidth="1"/>
    <col min="8715" max="8715" width="14.28515625" bestFit="1" customWidth="1"/>
    <col min="8716" max="8716" width="13" customWidth="1"/>
    <col min="8717" max="8717" width="14.85546875" customWidth="1"/>
    <col min="8719" max="8719" width="16" customWidth="1"/>
    <col min="8720" max="8720" width="14.140625" customWidth="1"/>
    <col min="8962" max="8962" width="25.85546875" customWidth="1"/>
    <col min="8963" max="8963" width="20.28515625" bestFit="1" customWidth="1"/>
    <col min="8964" max="8964" width="20.28515625" customWidth="1"/>
    <col min="8965" max="8965" width="16.28515625" customWidth="1"/>
    <col min="8968" max="8970" width="13" customWidth="1"/>
    <col min="8971" max="8971" width="14.28515625" bestFit="1" customWidth="1"/>
    <col min="8972" max="8972" width="13" customWidth="1"/>
    <col min="8973" max="8973" width="14.85546875" customWidth="1"/>
    <col min="8975" max="8975" width="16" customWidth="1"/>
    <col min="8976" max="8976" width="14.140625" customWidth="1"/>
    <col min="9218" max="9218" width="25.85546875" customWidth="1"/>
    <col min="9219" max="9219" width="20.28515625" bestFit="1" customWidth="1"/>
    <col min="9220" max="9220" width="20.28515625" customWidth="1"/>
    <col min="9221" max="9221" width="16.28515625" customWidth="1"/>
    <col min="9224" max="9226" width="13" customWidth="1"/>
    <col min="9227" max="9227" width="14.28515625" bestFit="1" customWidth="1"/>
    <col min="9228" max="9228" width="13" customWidth="1"/>
    <col min="9229" max="9229" width="14.85546875" customWidth="1"/>
    <col min="9231" max="9231" width="16" customWidth="1"/>
    <col min="9232" max="9232" width="14.140625" customWidth="1"/>
    <col min="9474" max="9474" width="25.85546875" customWidth="1"/>
    <col min="9475" max="9475" width="20.28515625" bestFit="1" customWidth="1"/>
    <col min="9476" max="9476" width="20.28515625" customWidth="1"/>
    <col min="9477" max="9477" width="16.28515625" customWidth="1"/>
    <col min="9480" max="9482" width="13" customWidth="1"/>
    <col min="9483" max="9483" width="14.28515625" bestFit="1" customWidth="1"/>
    <col min="9484" max="9484" width="13" customWidth="1"/>
    <col min="9485" max="9485" width="14.85546875" customWidth="1"/>
    <col min="9487" max="9487" width="16" customWidth="1"/>
    <col min="9488" max="9488" width="14.140625" customWidth="1"/>
    <col min="9730" max="9730" width="25.85546875" customWidth="1"/>
    <col min="9731" max="9731" width="20.28515625" bestFit="1" customWidth="1"/>
    <col min="9732" max="9732" width="20.28515625" customWidth="1"/>
    <col min="9733" max="9733" width="16.28515625" customWidth="1"/>
    <col min="9736" max="9738" width="13" customWidth="1"/>
    <col min="9739" max="9739" width="14.28515625" bestFit="1" customWidth="1"/>
    <col min="9740" max="9740" width="13" customWidth="1"/>
    <col min="9741" max="9741" width="14.85546875" customWidth="1"/>
    <col min="9743" max="9743" width="16" customWidth="1"/>
    <col min="9744" max="9744" width="14.140625" customWidth="1"/>
    <col min="9986" max="9986" width="25.85546875" customWidth="1"/>
    <col min="9987" max="9987" width="20.28515625" bestFit="1" customWidth="1"/>
    <col min="9988" max="9988" width="20.28515625" customWidth="1"/>
    <col min="9989" max="9989" width="16.28515625" customWidth="1"/>
    <col min="9992" max="9994" width="13" customWidth="1"/>
    <col min="9995" max="9995" width="14.28515625" bestFit="1" customWidth="1"/>
    <col min="9996" max="9996" width="13" customWidth="1"/>
    <col min="9997" max="9997" width="14.85546875" customWidth="1"/>
    <col min="9999" max="9999" width="16" customWidth="1"/>
    <col min="10000" max="10000" width="14.140625" customWidth="1"/>
    <col min="10242" max="10242" width="25.85546875" customWidth="1"/>
    <col min="10243" max="10243" width="20.28515625" bestFit="1" customWidth="1"/>
    <col min="10244" max="10244" width="20.28515625" customWidth="1"/>
    <col min="10245" max="10245" width="16.28515625" customWidth="1"/>
    <col min="10248" max="10250" width="13" customWidth="1"/>
    <col min="10251" max="10251" width="14.28515625" bestFit="1" customWidth="1"/>
    <col min="10252" max="10252" width="13" customWidth="1"/>
    <col min="10253" max="10253" width="14.85546875" customWidth="1"/>
    <col min="10255" max="10255" width="16" customWidth="1"/>
    <col min="10256" max="10256" width="14.140625" customWidth="1"/>
    <col min="10498" max="10498" width="25.85546875" customWidth="1"/>
    <col min="10499" max="10499" width="20.28515625" bestFit="1" customWidth="1"/>
    <col min="10500" max="10500" width="20.28515625" customWidth="1"/>
    <col min="10501" max="10501" width="16.28515625" customWidth="1"/>
    <col min="10504" max="10506" width="13" customWidth="1"/>
    <col min="10507" max="10507" width="14.28515625" bestFit="1" customWidth="1"/>
    <col min="10508" max="10508" width="13" customWidth="1"/>
    <col min="10509" max="10509" width="14.85546875" customWidth="1"/>
    <col min="10511" max="10511" width="16" customWidth="1"/>
    <col min="10512" max="10512" width="14.140625" customWidth="1"/>
    <col min="10754" max="10754" width="25.85546875" customWidth="1"/>
    <col min="10755" max="10755" width="20.28515625" bestFit="1" customWidth="1"/>
    <col min="10756" max="10756" width="20.28515625" customWidth="1"/>
    <col min="10757" max="10757" width="16.28515625" customWidth="1"/>
    <col min="10760" max="10762" width="13" customWidth="1"/>
    <col min="10763" max="10763" width="14.28515625" bestFit="1" customWidth="1"/>
    <col min="10764" max="10764" width="13" customWidth="1"/>
    <col min="10765" max="10765" width="14.85546875" customWidth="1"/>
    <col min="10767" max="10767" width="16" customWidth="1"/>
    <col min="10768" max="10768" width="14.140625" customWidth="1"/>
    <col min="11010" max="11010" width="25.85546875" customWidth="1"/>
    <col min="11011" max="11011" width="20.28515625" bestFit="1" customWidth="1"/>
    <col min="11012" max="11012" width="20.28515625" customWidth="1"/>
    <col min="11013" max="11013" width="16.28515625" customWidth="1"/>
    <col min="11016" max="11018" width="13" customWidth="1"/>
    <col min="11019" max="11019" width="14.28515625" bestFit="1" customWidth="1"/>
    <col min="11020" max="11020" width="13" customWidth="1"/>
    <col min="11021" max="11021" width="14.85546875" customWidth="1"/>
    <col min="11023" max="11023" width="16" customWidth="1"/>
    <col min="11024" max="11024" width="14.140625" customWidth="1"/>
    <col min="11266" max="11266" width="25.85546875" customWidth="1"/>
    <col min="11267" max="11267" width="20.28515625" bestFit="1" customWidth="1"/>
    <col min="11268" max="11268" width="20.28515625" customWidth="1"/>
    <col min="11269" max="11269" width="16.28515625" customWidth="1"/>
    <col min="11272" max="11274" width="13" customWidth="1"/>
    <col min="11275" max="11275" width="14.28515625" bestFit="1" customWidth="1"/>
    <col min="11276" max="11276" width="13" customWidth="1"/>
    <col min="11277" max="11277" width="14.85546875" customWidth="1"/>
    <col min="11279" max="11279" width="16" customWidth="1"/>
    <col min="11280" max="11280" width="14.140625" customWidth="1"/>
    <col min="11522" max="11522" width="25.85546875" customWidth="1"/>
    <col min="11523" max="11523" width="20.28515625" bestFit="1" customWidth="1"/>
    <col min="11524" max="11524" width="20.28515625" customWidth="1"/>
    <col min="11525" max="11525" width="16.28515625" customWidth="1"/>
    <col min="11528" max="11530" width="13" customWidth="1"/>
    <col min="11531" max="11531" width="14.28515625" bestFit="1" customWidth="1"/>
    <col min="11532" max="11532" width="13" customWidth="1"/>
    <col min="11533" max="11533" width="14.85546875" customWidth="1"/>
    <col min="11535" max="11535" width="16" customWidth="1"/>
    <col min="11536" max="11536" width="14.140625" customWidth="1"/>
    <col min="11778" max="11778" width="25.85546875" customWidth="1"/>
    <col min="11779" max="11779" width="20.28515625" bestFit="1" customWidth="1"/>
    <col min="11780" max="11780" width="20.28515625" customWidth="1"/>
    <col min="11781" max="11781" width="16.28515625" customWidth="1"/>
    <col min="11784" max="11786" width="13" customWidth="1"/>
    <col min="11787" max="11787" width="14.28515625" bestFit="1" customWidth="1"/>
    <col min="11788" max="11788" width="13" customWidth="1"/>
    <col min="11789" max="11789" width="14.85546875" customWidth="1"/>
    <col min="11791" max="11791" width="16" customWidth="1"/>
    <col min="11792" max="11792" width="14.140625" customWidth="1"/>
    <col min="12034" max="12034" width="25.85546875" customWidth="1"/>
    <col min="12035" max="12035" width="20.28515625" bestFit="1" customWidth="1"/>
    <col min="12036" max="12036" width="20.28515625" customWidth="1"/>
    <col min="12037" max="12037" width="16.28515625" customWidth="1"/>
    <col min="12040" max="12042" width="13" customWidth="1"/>
    <col min="12043" max="12043" width="14.28515625" bestFit="1" customWidth="1"/>
    <col min="12044" max="12044" width="13" customWidth="1"/>
    <col min="12045" max="12045" width="14.85546875" customWidth="1"/>
    <col min="12047" max="12047" width="16" customWidth="1"/>
    <col min="12048" max="12048" width="14.140625" customWidth="1"/>
    <col min="12290" max="12290" width="25.85546875" customWidth="1"/>
    <col min="12291" max="12291" width="20.28515625" bestFit="1" customWidth="1"/>
    <col min="12292" max="12292" width="20.28515625" customWidth="1"/>
    <col min="12293" max="12293" width="16.28515625" customWidth="1"/>
    <col min="12296" max="12298" width="13" customWidth="1"/>
    <col min="12299" max="12299" width="14.28515625" bestFit="1" customWidth="1"/>
    <col min="12300" max="12300" width="13" customWidth="1"/>
    <col min="12301" max="12301" width="14.85546875" customWidth="1"/>
    <col min="12303" max="12303" width="16" customWidth="1"/>
    <col min="12304" max="12304" width="14.140625" customWidth="1"/>
    <col min="12546" max="12546" width="25.85546875" customWidth="1"/>
    <col min="12547" max="12547" width="20.28515625" bestFit="1" customWidth="1"/>
    <col min="12548" max="12548" width="20.28515625" customWidth="1"/>
    <col min="12549" max="12549" width="16.28515625" customWidth="1"/>
    <col min="12552" max="12554" width="13" customWidth="1"/>
    <col min="12555" max="12555" width="14.28515625" bestFit="1" customWidth="1"/>
    <col min="12556" max="12556" width="13" customWidth="1"/>
    <col min="12557" max="12557" width="14.85546875" customWidth="1"/>
    <col min="12559" max="12559" width="16" customWidth="1"/>
    <col min="12560" max="12560" width="14.140625" customWidth="1"/>
    <col min="12802" max="12802" width="25.85546875" customWidth="1"/>
    <col min="12803" max="12803" width="20.28515625" bestFit="1" customWidth="1"/>
    <col min="12804" max="12804" width="20.28515625" customWidth="1"/>
    <col min="12805" max="12805" width="16.28515625" customWidth="1"/>
    <col min="12808" max="12810" width="13" customWidth="1"/>
    <col min="12811" max="12811" width="14.28515625" bestFit="1" customWidth="1"/>
    <col min="12812" max="12812" width="13" customWidth="1"/>
    <col min="12813" max="12813" width="14.85546875" customWidth="1"/>
    <col min="12815" max="12815" width="16" customWidth="1"/>
    <col min="12816" max="12816" width="14.140625" customWidth="1"/>
    <col min="13058" max="13058" width="25.85546875" customWidth="1"/>
    <col min="13059" max="13059" width="20.28515625" bestFit="1" customWidth="1"/>
    <col min="13060" max="13060" width="20.28515625" customWidth="1"/>
    <col min="13061" max="13061" width="16.28515625" customWidth="1"/>
    <col min="13064" max="13066" width="13" customWidth="1"/>
    <col min="13067" max="13067" width="14.28515625" bestFit="1" customWidth="1"/>
    <col min="13068" max="13068" width="13" customWidth="1"/>
    <col min="13069" max="13069" width="14.85546875" customWidth="1"/>
    <col min="13071" max="13071" width="16" customWidth="1"/>
    <col min="13072" max="13072" width="14.140625" customWidth="1"/>
    <col min="13314" max="13314" width="25.85546875" customWidth="1"/>
    <col min="13315" max="13315" width="20.28515625" bestFit="1" customWidth="1"/>
    <col min="13316" max="13316" width="20.28515625" customWidth="1"/>
    <col min="13317" max="13317" width="16.28515625" customWidth="1"/>
    <col min="13320" max="13322" width="13" customWidth="1"/>
    <col min="13323" max="13323" width="14.28515625" bestFit="1" customWidth="1"/>
    <col min="13324" max="13324" width="13" customWidth="1"/>
    <col min="13325" max="13325" width="14.85546875" customWidth="1"/>
    <col min="13327" max="13327" width="16" customWidth="1"/>
    <col min="13328" max="13328" width="14.140625" customWidth="1"/>
    <col min="13570" max="13570" width="25.85546875" customWidth="1"/>
    <col min="13571" max="13571" width="20.28515625" bestFit="1" customWidth="1"/>
    <col min="13572" max="13572" width="20.28515625" customWidth="1"/>
    <col min="13573" max="13573" width="16.28515625" customWidth="1"/>
    <col min="13576" max="13578" width="13" customWidth="1"/>
    <col min="13579" max="13579" width="14.28515625" bestFit="1" customWidth="1"/>
    <col min="13580" max="13580" width="13" customWidth="1"/>
    <col min="13581" max="13581" width="14.85546875" customWidth="1"/>
    <col min="13583" max="13583" width="16" customWidth="1"/>
    <col min="13584" max="13584" width="14.140625" customWidth="1"/>
    <col min="13826" max="13826" width="25.85546875" customWidth="1"/>
    <col min="13827" max="13827" width="20.28515625" bestFit="1" customWidth="1"/>
    <col min="13828" max="13828" width="20.28515625" customWidth="1"/>
    <col min="13829" max="13829" width="16.28515625" customWidth="1"/>
    <col min="13832" max="13834" width="13" customWidth="1"/>
    <col min="13835" max="13835" width="14.28515625" bestFit="1" customWidth="1"/>
    <col min="13836" max="13836" width="13" customWidth="1"/>
    <col min="13837" max="13837" width="14.85546875" customWidth="1"/>
    <col min="13839" max="13839" width="16" customWidth="1"/>
    <col min="13840" max="13840" width="14.140625" customWidth="1"/>
    <col min="14082" max="14082" width="25.85546875" customWidth="1"/>
    <col min="14083" max="14083" width="20.28515625" bestFit="1" customWidth="1"/>
    <col min="14084" max="14084" width="20.28515625" customWidth="1"/>
    <col min="14085" max="14085" width="16.28515625" customWidth="1"/>
    <col min="14088" max="14090" width="13" customWidth="1"/>
    <col min="14091" max="14091" width="14.28515625" bestFit="1" customWidth="1"/>
    <col min="14092" max="14092" width="13" customWidth="1"/>
    <col min="14093" max="14093" width="14.85546875" customWidth="1"/>
    <col min="14095" max="14095" width="16" customWidth="1"/>
    <col min="14096" max="14096" width="14.140625" customWidth="1"/>
    <col min="14338" max="14338" width="25.85546875" customWidth="1"/>
    <col min="14339" max="14339" width="20.28515625" bestFit="1" customWidth="1"/>
    <col min="14340" max="14340" width="20.28515625" customWidth="1"/>
    <col min="14341" max="14341" width="16.28515625" customWidth="1"/>
    <col min="14344" max="14346" width="13" customWidth="1"/>
    <col min="14347" max="14347" width="14.28515625" bestFit="1" customWidth="1"/>
    <col min="14348" max="14348" width="13" customWidth="1"/>
    <col min="14349" max="14349" width="14.85546875" customWidth="1"/>
    <col min="14351" max="14351" width="16" customWidth="1"/>
    <col min="14352" max="14352" width="14.140625" customWidth="1"/>
    <col min="14594" max="14594" width="25.85546875" customWidth="1"/>
    <col min="14595" max="14595" width="20.28515625" bestFit="1" customWidth="1"/>
    <col min="14596" max="14596" width="20.28515625" customWidth="1"/>
    <col min="14597" max="14597" width="16.28515625" customWidth="1"/>
    <col min="14600" max="14602" width="13" customWidth="1"/>
    <col min="14603" max="14603" width="14.28515625" bestFit="1" customWidth="1"/>
    <col min="14604" max="14604" width="13" customWidth="1"/>
    <col min="14605" max="14605" width="14.85546875" customWidth="1"/>
    <col min="14607" max="14607" width="16" customWidth="1"/>
    <col min="14608" max="14608" width="14.140625" customWidth="1"/>
    <col min="14850" max="14850" width="25.85546875" customWidth="1"/>
    <col min="14851" max="14851" width="20.28515625" bestFit="1" customWidth="1"/>
    <col min="14852" max="14852" width="20.28515625" customWidth="1"/>
    <col min="14853" max="14853" width="16.28515625" customWidth="1"/>
    <col min="14856" max="14858" width="13" customWidth="1"/>
    <col min="14859" max="14859" width="14.28515625" bestFit="1" customWidth="1"/>
    <col min="14860" max="14860" width="13" customWidth="1"/>
    <col min="14861" max="14861" width="14.85546875" customWidth="1"/>
    <col min="14863" max="14863" width="16" customWidth="1"/>
    <col min="14864" max="14864" width="14.140625" customWidth="1"/>
    <col min="15106" max="15106" width="25.85546875" customWidth="1"/>
    <col min="15107" max="15107" width="20.28515625" bestFit="1" customWidth="1"/>
    <col min="15108" max="15108" width="20.28515625" customWidth="1"/>
    <col min="15109" max="15109" width="16.28515625" customWidth="1"/>
    <col min="15112" max="15114" width="13" customWidth="1"/>
    <col min="15115" max="15115" width="14.28515625" bestFit="1" customWidth="1"/>
    <col min="15116" max="15116" width="13" customWidth="1"/>
    <col min="15117" max="15117" width="14.85546875" customWidth="1"/>
    <col min="15119" max="15119" width="16" customWidth="1"/>
    <col min="15120" max="15120" width="14.140625" customWidth="1"/>
    <col min="15362" max="15362" width="25.85546875" customWidth="1"/>
    <col min="15363" max="15363" width="20.28515625" bestFit="1" customWidth="1"/>
    <col min="15364" max="15364" width="20.28515625" customWidth="1"/>
    <col min="15365" max="15365" width="16.28515625" customWidth="1"/>
    <col min="15368" max="15370" width="13" customWidth="1"/>
    <col min="15371" max="15371" width="14.28515625" bestFit="1" customWidth="1"/>
    <col min="15372" max="15372" width="13" customWidth="1"/>
    <col min="15373" max="15373" width="14.85546875" customWidth="1"/>
    <col min="15375" max="15375" width="16" customWidth="1"/>
    <col min="15376" max="15376" width="14.140625" customWidth="1"/>
    <col min="15618" max="15618" width="25.85546875" customWidth="1"/>
    <col min="15619" max="15619" width="20.28515625" bestFit="1" customWidth="1"/>
    <col min="15620" max="15620" width="20.28515625" customWidth="1"/>
    <col min="15621" max="15621" width="16.28515625" customWidth="1"/>
    <col min="15624" max="15626" width="13" customWidth="1"/>
    <col min="15627" max="15627" width="14.28515625" bestFit="1" customWidth="1"/>
    <col min="15628" max="15628" width="13" customWidth="1"/>
    <col min="15629" max="15629" width="14.85546875" customWidth="1"/>
    <col min="15631" max="15631" width="16" customWidth="1"/>
    <col min="15632" max="15632" width="14.140625" customWidth="1"/>
    <col min="15874" max="15874" width="25.85546875" customWidth="1"/>
    <col min="15875" max="15875" width="20.28515625" bestFit="1" customWidth="1"/>
    <col min="15876" max="15876" width="20.28515625" customWidth="1"/>
    <col min="15877" max="15877" width="16.28515625" customWidth="1"/>
    <col min="15880" max="15882" width="13" customWidth="1"/>
    <col min="15883" max="15883" width="14.28515625" bestFit="1" customWidth="1"/>
    <col min="15884" max="15884" width="13" customWidth="1"/>
    <col min="15885" max="15885" width="14.85546875" customWidth="1"/>
    <col min="15887" max="15887" width="16" customWidth="1"/>
    <col min="15888" max="15888" width="14.140625" customWidth="1"/>
    <col min="16130" max="16130" width="25.85546875" customWidth="1"/>
    <col min="16131" max="16131" width="20.28515625" bestFit="1" customWidth="1"/>
    <col min="16132" max="16132" width="20.28515625" customWidth="1"/>
    <col min="16133" max="16133" width="16.28515625" customWidth="1"/>
    <col min="16136" max="16138" width="13" customWidth="1"/>
    <col min="16139" max="16139" width="14.28515625" bestFit="1" customWidth="1"/>
    <col min="16140" max="16140" width="13" customWidth="1"/>
    <col min="16141" max="16141" width="14.85546875" customWidth="1"/>
    <col min="16143" max="16143" width="16" customWidth="1"/>
    <col min="16144" max="16144" width="14.140625" customWidth="1"/>
  </cols>
  <sheetData>
    <row r="2" spans="2:16" x14ac:dyDescent="0.2">
      <c r="B2" s="22" t="s">
        <v>228</v>
      </c>
      <c r="C2" s="18"/>
      <c r="D2" s="18"/>
      <c r="E2" s="18"/>
      <c r="F2" s="18"/>
      <c r="G2" s="18"/>
      <c r="H2" s="18"/>
    </row>
    <row r="3" spans="2:16" x14ac:dyDescent="0.2">
      <c r="B3" s="73"/>
      <c r="C3" s="74" t="s">
        <v>231</v>
      </c>
      <c r="D3" s="74" t="s">
        <v>233</v>
      </c>
      <c r="E3" s="74" t="s">
        <v>234</v>
      </c>
      <c r="F3" s="74" t="s">
        <v>235</v>
      </c>
      <c r="G3" s="74"/>
      <c r="H3" s="74" t="s">
        <v>227</v>
      </c>
    </row>
    <row r="4" spans="2:16" x14ac:dyDescent="0.2">
      <c r="B4" s="102"/>
      <c r="C4" s="103"/>
      <c r="D4" s="103"/>
      <c r="E4" s="103"/>
      <c r="F4" s="103"/>
      <c r="G4" s="103"/>
      <c r="H4" s="103"/>
    </row>
    <row r="5" spans="2:16" s="355" customFormat="1" ht="12" x14ac:dyDescent="0.2">
      <c r="B5" s="361" t="s">
        <v>409</v>
      </c>
      <c r="C5" s="362"/>
      <c r="D5" s="362"/>
      <c r="E5" s="362"/>
      <c r="F5" s="362"/>
      <c r="G5" s="362"/>
      <c r="H5" s="362"/>
      <c r="I5" s="356"/>
      <c r="J5" s="356"/>
      <c r="K5" s="356"/>
      <c r="L5" s="356"/>
      <c r="M5" s="356"/>
      <c r="N5" s="356"/>
      <c r="O5" s="356"/>
      <c r="P5" s="356"/>
    </row>
    <row r="6" spans="2:16" s="355" customFormat="1" ht="12" x14ac:dyDescent="0.2">
      <c r="B6" s="363" t="str">
        <f>IF(ACALC_rd!C6="MTPVW+UMSPUL","MTPVW","HVZ")</f>
        <v>HVZ</v>
      </c>
      <c r="C6" s="364">
        <f>N85</f>
        <v>3.7958513382785518E-2</v>
      </c>
      <c r="D6" s="362"/>
      <c r="E6" s="365">
        <f>O85</f>
        <v>0.54850051838125069</v>
      </c>
      <c r="F6" s="365">
        <f>P85</f>
        <v>0.66427398419874661</v>
      </c>
      <c r="G6" s="365"/>
      <c r="H6" s="365">
        <f>SUM(E6:G6)</f>
        <v>1.2127745025799972</v>
      </c>
      <c r="I6" s="356"/>
      <c r="J6" s="356"/>
      <c r="K6" s="356"/>
      <c r="L6" s="356"/>
      <c r="M6" s="356"/>
      <c r="N6" s="356"/>
      <c r="O6" s="356"/>
      <c r="P6" s="356"/>
    </row>
    <row r="7" spans="2:16" s="355" customFormat="1" ht="12" x14ac:dyDescent="0.2">
      <c r="B7" s="361"/>
      <c r="C7" s="362"/>
      <c r="D7" s="362"/>
      <c r="E7" s="365"/>
      <c r="F7" s="365"/>
      <c r="G7" s="365"/>
      <c r="H7" s="365"/>
      <c r="I7" s="356"/>
      <c r="J7" s="356"/>
      <c r="K7" s="356"/>
      <c r="L7" s="356"/>
      <c r="M7" s="356"/>
      <c r="N7" s="356"/>
      <c r="O7" s="356"/>
      <c r="P7" s="356"/>
    </row>
    <row r="8" spans="2:16" s="355" customFormat="1" ht="12" x14ac:dyDescent="0.2">
      <c r="B8" s="361" t="s">
        <v>410</v>
      </c>
      <c r="C8" s="364">
        <f>N88/ACALC_rd!C8</f>
        <v>1.0500000000000001E-2</v>
      </c>
      <c r="D8" s="362"/>
      <c r="E8" s="365">
        <f>O88/ACALC_rd!C8</f>
        <v>0.151725</v>
      </c>
      <c r="F8" s="365">
        <f>P88/ACALC_rd!C8</f>
        <v>0.36749999999999999</v>
      </c>
      <c r="G8" s="365"/>
      <c r="H8" s="365">
        <f>SUM(E8:G8)</f>
        <v>0.51922500000000005</v>
      </c>
      <c r="I8" s="356"/>
      <c r="J8" s="356"/>
      <c r="K8" s="356"/>
      <c r="L8" s="356"/>
      <c r="M8" s="356"/>
      <c r="N8" s="356"/>
      <c r="O8" s="356"/>
      <c r="P8" s="356"/>
    </row>
    <row r="9" spans="2:16" s="355" customFormat="1" ht="12" x14ac:dyDescent="0.2">
      <c r="B9" s="361"/>
      <c r="C9" s="362"/>
      <c r="D9" s="362"/>
      <c r="E9" s="365"/>
      <c r="F9" s="365"/>
      <c r="G9" s="365"/>
      <c r="H9" s="365"/>
      <c r="I9" s="356"/>
      <c r="J9" s="356"/>
      <c r="K9" s="356"/>
      <c r="L9" s="356"/>
      <c r="M9" s="356"/>
      <c r="N9" s="356"/>
      <c r="O9" s="356"/>
      <c r="P9" s="356"/>
    </row>
    <row r="10" spans="2:16" s="355" customFormat="1" ht="12" x14ac:dyDescent="0.2">
      <c r="B10" s="366" t="s">
        <v>411</v>
      </c>
      <c r="C10" s="367">
        <f>SUM(C6:C8)</f>
        <v>4.845851338278552E-2</v>
      </c>
      <c r="D10" s="367"/>
      <c r="E10" s="368">
        <f>SUM(E6:E8)</f>
        <v>0.70022551838125069</v>
      </c>
      <c r="F10" s="368">
        <f>SUM(F6:F8)</f>
        <v>1.0317739841987466</v>
      </c>
      <c r="G10" s="368"/>
      <c r="H10" s="368">
        <f>E10+F10</f>
        <v>1.7319995025799972</v>
      </c>
      <c r="I10" s="356"/>
      <c r="J10" s="356"/>
      <c r="K10" s="356"/>
      <c r="L10" s="356"/>
      <c r="M10" s="356"/>
      <c r="N10" s="356"/>
      <c r="O10" s="356"/>
      <c r="P10" s="356"/>
    </row>
    <row r="11" spans="2:16" x14ac:dyDescent="0.2">
      <c r="B11" s="102"/>
      <c r="C11" s="103"/>
      <c r="D11" s="103"/>
      <c r="E11" s="369"/>
      <c r="F11" s="369"/>
      <c r="G11" s="369"/>
      <c r="H11" s="369"/>
    </row>
    <row r="12" spans="2:16" ht="7.5" customHeight="1" x14ac:dyDescent="0.2">
      <c r="B12" s="370"/>
      <c r="C12" s="371"/>
      <c r="D12" s="371"/>
      <c r="E12" s="372"/>
      <c r="F12" s="372"/>
      <c r="G12" s="372"/>
      <c r="H12" s="372"/>
    </row>
    <row r="13" spans="2:16" x14ac:dyDescent="0.2">
      <c r="B13" s="102"/>
      <c r="C13" s="103"/>
      <c r="D13" s="103"/>
      <c r="E13" s="369"/>
      <c r="F13" s="369"/>
      <c r="G13" s="369"/>
      <c r="H13" s="369"/>
    </row>
    <row r="14" spans="2:16" x14ac:dyDescent="0.2">
      <c r="B14" s="361" t="s">
        <v>412</v>
      </c>
      <c r="C14" s="103"/>
      <c r="D14" s="103"/>
      <c r="E14" s="369"/>
      <c r="F14" s="369"/>
      <c r="G14" s="369"/>
      <c r="H14" s="369"/>
    </row>
    <row r="15" spans="2:16" x14ac:dyDescent="0.2">
      <c r="B15" s="363" t="str">
        <f>IF(ACALC_rd!C6="MTPVW+UMSPUL","Umspulen","KEIN 2. ARBEITSSCHRITT NOTWENDIG")</f>
        <v>KEIN 2. ARBEITSSCHRITT NOTWENDIG</v>
      </c>
      <c r="C15" s="364">
        <f>N97</f>
        <v>3.0728320357493039E-2</v>
      </c>
      <c r="D15" s="362"/>
      <c r="E15" s="365">
        <f>O97</f>
        <v>0.22585315462757383</v>
      </c>
      <c r="F15" s="365">
        <f>P97</f>
        <v>0.53774560625612822</v>
      </c>
      <c r="G15" s="365"/>
      <c r="H15" s="365">
        <f>SUM(E15:F15)</f>
        <v>0.76359876088370204</v>
      </c>
    </row>
    <row r="16" spans="2:16" x14ac:dyDescent="0.2">
      <c r="B16" s="361"/>
      <c r="C16" s="362"/>
      <c r="D16" s="362"/>
      <c r="E16" s="365"/>
      <c r="F16" s="365"/>
      <c r="G16" s="365"/>
      <c r="H16" s="365"/>
    </row>
    <row r="17" spans="2:8" x14ac:dyDescent="0.2">
      <c r="B17" s="361" t="s">
        <v>413</v>
      </c>
      <c r="C17" s="364">
        <f>N99/ACALC_rd!C8</f>
        <v>5.4200542005420063E-3</v>
      </c>
      <c r="D17" s="362"/>
      <c r="E17" s="365">
        <f>O102/ACALC_rd!C8</f>
        <v>0.19156239837398376</v>
      </c>
      <c r="F17" s="365">
        <f>P102/ACALC_rd!C8</f>
        <v>0.55720189701897016</v>
      </c>
      <c r="G17" s="365"/>
      <c r="H17" s="365">
        <f>SUM(E17:G17)</f>
        <v>0.74876429539295386</v>
      </c>
    </row>
    <row r="18" spans="2:8" x14ac:dyDescent="0.2">
      <c r="B18" s="361"/>
      <c r="C18" s="362"/>
      <c r="D18" s="362"/>
      <c r="E18" s="365"/>
      <c r="F18" s="365"/>
      <c r="G18" s="365"/>
      <c r="H18" s="365"/>
    </row>
    <row r="19" spans="2:8" x14ac:dyDescent="0.2">
      <c r="B19" s="366" t="s">
        <v>414</v>
      </c>
      <c r="C19" s="367">
        <f>IF(ACALC_rd!C6="MTPVW+UMSPUL",SUM(C15:C17),0)</f>
        <v>0</v>
      </c>
      <c r="D19" s="367"/>
      <c r="E19" s="368">
        <f>SUM(E15:E17)</f>
        <v>0.41741555300155758</v>
      </c>
      <c r="F19" s="368">
        <f>SUM(F15:F17)</f>
        <v>1.0949475032750984</v>
      </c>
      <c r="G19" s="368"/>
      <c r="H19" s="368">
        <f>SUM(E19:F19)</f>
        <v>1.5123630562766559</v>
      </c>
    </row>
    <row r="20" spans="2:8" x14ac:dyDescent="0.2">
      <c r="B20" s="102"/>
      <c r="C20" s="103"/>
      <c r="D20" s="103"/>
      <c r="E20" s="103"/>
      <c r="F20" s="103"/>
      <c r="G20" s="103"/>
      <c r="H20" s="103"/>
    </row>
    <row r="21" spans="2:8" ht="7.5" customHeight="1" x14ac:dyDescent="0.2">
      <c r="B21" s="370"/>
      <c r="C21" s="371"/>
      <c r="D21" s="371"/>
      <c r="E21" s="372"/>
      <c r="F21" s="372"/>
      <c r="G21" s="372"/>
      <c r="H21" s="372"/>
    </row>
    <row r="22" spans="2:8" x14ac:dyDescent="0.2">
      <c r="B22" s="102"/>
      <c r="C22" s="103"/>
      <c r="D22" s="103"/>
      <c r="E22" s="103"/>
      <c r="F22" s="103"/>
      <c r="G22" s="103"/>
      <c r="H22" s="103"/>
    </row>
    <row r="23" spans="2:8" x14ac:dyDescent="0.2">
      <c r="B23" s="102" t="s">
        <v>161</v>
      </c>
      <c r="C23" s="364">
        <f>G108/ACALC_rd!C8</f>
        <v>3.1999999999999999E-5</v>
      </c>
      <c r="D23" s="365">
        <f>O107/ACALC_rd!C8</f>
        <v>0.1527</v>
      </c>
      <c r="E23" s="103"/>
      <c r="F23" s="365">
        <f>P107/ACALC_rd!C8</f>
        <v>1.1200000000000001E-3</v>
      </c>
      <c r="G23" s="103"/>
      <c r="H23" s="369">
        <f>SUM(D23:F23)</f>
        <v>0.15382000000000001</v>
      </c>
    </row>
    <row r="24" spans="2:8" x14ac:dyDescent="0.2">
      <c r="B24" s="102" t="s">
        <v>417</v>
      </c>
      <c r="C24" s="103"/>
      <c r="D24" s="365">
        <f>ACALC_rd!H25</f>
        <v>0</v>
      </c>
      <c r="E24" s="103"/>
      <c r="F24" s="103"/>
      <c r="G24" s="103"/>
      <c r="H24" s="369">
        <f>SUM(D24:G24)</f>
        <v>0</v>
      </c>
    </row>
    <row r="25" spans="2:8" x14ac:dyDescent="0.2">
      <c r="B25" s="102" t="s">
        <v>208</v>
      </c>
      <c r="C25" s="103"/>
      <c r="D25" s="365">
        <f>K112/ACALC_rd!C8</f>
        <v>0.47026422764227643</v>
      </c>
      <c r="E25" s="103"/>
      <c r="F25" s="103"/>
      <c r="G25" s="103"/>
      <c r="H25" s="369">
        <f>SUM(D25:G25)</f>
        <v>0.47026422764227643</v>
      </c>
    </row>
    <row r="26" spans="2:8" x14ac:dyDescent="0.2">
      <c r="B26" s="102"/>
      <c r="C26" s="103"/>
      <c r="D26" s="103"/>
      <c r="E26" s="103"/>
      <c r="F26" s="103"/>
      <c r="G26" s="103"/>
      <c r="H26" s="103"/>
    </row>
    <row r="27" spans="2:8" x14ac:dyDescent="0.2">
      <c r="B27" s="366" t="s">
        <v>418</v>
      </c>
      <c r="C27" s="367">
        <f>SUM(C23:C26)</f>
        <v>3.1999999999999999E-5</v>
      </c>
      <c r="D27" s="368">
        <f>SUM(D23:D26)</f>
        <v>0.62296422764227644</v>
      </c>
      <c r="E27" s="368"/>
      <c r="F27" s="368">
        <f>SUM(F23:F26)</f>
        <v>1.1200000000000001E-3</v>
      </c>
      <c r="G27" s="368"/>
      <c r="H27" s="368">
        <f>SUM(H23:H26)</f>
        <v>0.62408422764227645</v>
      </c>
    </row>
    <row r="28" spans="2:8" x14ac:dyDescent="0.2">
      <c r="B28" s="102"/>
      <c r="C28" s="103"/>
      <c r="D28" s="103"/>
      <c r="E28" s="103"/>
      <c r="F28" s="103"/>
      <c r="G28" s="103"/>
      <c r="H28" s="103"/>
    </row>
    <row r="29" spans="2:8" ht="7.5" customHeight="1" x14ac:dyDescent="0.2">
      <c r="B29" s="370"/>
      <c r="C29" s="371"/>
      <c r="D29" s="371"/>
      <c r="E29" s="372"/>
      <c r="F29" s="372"/>
      <c r="G29" s="372"/>
      <c r="H29" s="372"/>
    </row>
    <row r="30" spans="2:8" x14ac:dyDescent="0.2">
      <c r="B30" s="102"/>
      <c r="C30" s="103"/>
      <c r="D30" s="103"/>
      <c r="E30" s="103"/>
      <c r="F30" s="103"/>
      <c r="G30" s="103"/>
      <c r="H30" s="103"/>
    </row>
    <row r="31" spans="2:8" x14ac:dyDescent="0.2">
      <c r="B31" s="102"/>
      <c r="C31" s="103"/>
      <c r="D31" s="103"/>
      <c r="E31" s="103"/>
      <c r="F31" s="103"/>
      <c r="G31" s="103"/>
      <c r="H31" s="103"/>
    </row>
    <row r="32" spans="2:8" x14ac:dyDescent="0.2">
      <c r="B32" s="361" t="s">
        <v>241</v>
      </c>
      <c r="C32" s="103"/>
      <c r="D32" s="103"/>
      <c r="E32" s="103"/>
      <c r="F32" s="103"/>
      <c r="G32" s="103"/>
      <c r="H32" s="369">
        <f>H10+H19</f>
        <v>3.2443625588566531</v>
      </c>
    </row>
    <row r="33" spans="2:8" x14ac:dyDescent="0.2">
      <c r="B33" s="361" t="s">
        <v>242</v>
      </c>
      <c r="C33" s="103"/>
      <c r="D33" s="103"/>
      <c r="E33" s="103"/>
      <c r="F33" s="103"/>
      <c r="G33" s="103"/>
      <c r="H33" s="369">
        <f>H10+H19+H25</f>
        <v>3.7146267864989295</v>
      </c>
    </row>
    <row r="34" spans="2:8" x14ac:dyDescent="0.2">
      <c r="B34" s="361"/>
      <c r="C34" s="103"/>
      <c r="D34" s="103"/>
      <c r="E34" s="103"/>
      <c r="F34" s="103"/>
      <c r="G34" s="103"/>
      <c r="H34" s="103"/>
    </row>
    <row r="35" spans="2:8" x14ac:dyDescent="0.2">
      <c r="B35" s="366" t="s">
        <v>243</v>
      </c>
      <c r="C35" s="367">
        <f>C10+C19+C27</f>
        <v>4.8490513382785518E-2</v>
      </c>
      <c r="D35" s="368">
        <f>D27</f>
        <v>0.62296422764227644</v>
      </c>
      <c r="E35" s="368">
        <f>E10+E19</f>
        <v>1.1176410713828082</v>
      </c>
      <c r="F35" s="368">
        <f>F10+F19+F27</f>
        <v>2.1278414874738449</v>
      </c>
      <c r="G35" s="103"/>
      <c r="H35" s="368">
        <f>H10+H19+H27</f>
        <v>3.8684467864989296</v>
      </c>
    </row>
    <row r="36" spans="2:8" x14ac:dyDescent="0.2">
      <c r="B36" s="102"/>
      <c r="C36" s="103"/>
      <c r="D36" s="103" t="s">
        <v>233</v>
      </c>
      <c r="E36" s="103" t="s">
        <v>234</v>
      </c>
      <c r="F36" s="103" t="s">
        <v>235</v>
      </c>
      <c r="G36" s="103"/>
      <c r="H36" s="103"/>
    </row>
    <row r="37" spans="2:8" ht="7.5" customHeight="1" x14ac:dyDescent="0.2">
      <c r="B37" s="370"/>
      <c r="C37" s="371"/>
      <c r="D37" s="371"/>
      <c r="E37" s="372"/>
      <c r="F37" s="372"/>
      <c r="G37" s="372"/>
      <c r="H37" s="372"/>
    </row>
    <row r="39" spans="2:8" x14ac:dyDescent="0.2">
      <c r="B39" s="325" t="s">
        <v>428</v>
      </c>
      <c r="H39" s="369">
        <f>IF(ACALC_rd!C4&lt;=0.2,1.36,1.16)</f>
        <v>1.1599999999999999</v>
      </c>
    </row>
    <row r="41" spans="2:8" ht="7.5" customHeight="1" x14ac:dyDescent="0.2">
      <c r="B41" s="370"/>
      <c r="C41" s="371"/>
      <c r="D41" s="371"/>
      <c r="E41" s="372"/>
      <c r="F41" s="372"/>
      <c r="G41" s="372"/>
      <c r="H41" s="372"/>
    </row>
    <row r="43" spans="2:8" x14ac:dyDescent="0.2">
      <c r="B43" s="325" t="s">
        <v>433</v>
      </c>
      <c r="H43" s="369">
        <f>Metall_rd!D41</f>
        <v>12.437646752667465</v>
      </c>
    </row>
    <row r="44" spans="2:8" ht="7.5" customHeight="1" x14ac:dyDescent="0.2">
      <c r="B44" s="370"/>
      <c r="C44" s="371"/>
      <c r="D44" s="371"/>
      <c r="E44" s="372"/>
      <c r="F44" s="372"/>
      <c r="G44" s="372"/>
      <c r="H44" s="372"/>
    </row>
    <row r="46" spans="2:8" x14ac:dyDescent="0.2">
      <c r="B46" s="325" t="s">
        <v>244</v>
      </c>
      <c r="H46" s="369">
        <f>C35*Daten_v_Kosten_Preise!C40</f>
        <v>0.5629748603741398</v>
      </c>
    </row>
    <row r="47" spans="2:8" ht="7.5" customHeight="1" x14ac:dyDescent="0.2">
      <c r="B47" s="255"/>
      <c r="C47" s="374"/>
      <c r="D47" s="374"/>
      <c r="E47" s="375"/>
      <c r="F47" s="375"/>
      <c r="G47" s="375"/>
      <c r="H47" s="375"/>
    </row>
    <row r="48" spans="2:8" x14ac:dyDescent="0.2">
      <c r="B48" s="325" t="s">
        <v>430</v>
      </c>
      <c r="H48" s="368">
        <f>H35+H39+H43+H46</f>
        <v>18.029068399540535</v>
      </c>
    </row>
    <row r="49" spans="2:8" ht="7.5" customHeight="1" x14ac:dyDescent="0.2">
      <c r="B49" s="255"/>
      <c r="C49" s="374"/>
      <c r="D49" s="374"/>
      <c r="E49" s="375"/>
      <c r="F49" s="375"/>
      <c r="G49" s="375"/>
      <c r="H49" s="375"/>
    </row>
    <row r="50" spans="2:8" x14ac:dyDescent="0.2">
      <c r="B50" t="s">
        <v>248</v>
      </c>
      <c r="D50" s="376">
        <f>Daten_v_Kosten_Preise!C42*Arbeitsplan_rd!C35*ACALC_rd!C8</f>
        <v>198.8111048694206</v>
      </c>
      <c r="H50" s="369">
        <f>D50/ACALC_rd!C8</f>
        <v>3.976222097388412E-2</v>
      </c>
    </row>
    <row r="51" spans="2:8" x14ac:dyDescent="0.2">
      <c r="B51" t="s">
        <v>245</v>
      </c>
      <c r="D51" s="376">
        <f>ACALC_rd!C8*ACALC_rd!C10*ACALC_rd!C28</f>
        <v>0</v>
      </c>
      <c r="H51" s="369">
        <f>D51/ACALC_rd!C8</f>
        <v>0</v>
      </c>
    </row>
    <row r="52" spans="2:8" x14ac:dyDescent="0.2">
      <c r="D52" s="376"/>
      <c r="H52" s="369"/>
    </row>
    <row r="53" spans="2:8" x14ac:dyDescent="0.2">
      <c r="B53" t="s">
        <v>249</v>
      </c>
      <c r="D53" s="376">
        <f>Daten_v_Kosten_Preise!C43*Arbeitsplan_rd!C35*ACALC_rd!C8</f>
        <v>1200.1402062239417</v>
      </c>
      <c r="H53" s="369">
        <f>D53/ACALC_rd!C8</f>
        <v>0.24002804124478835</v>
      </c>
    </row>
    <row r="54" spans="2:8" x14ac:dyDescent="0.2">
      <c r="B54" t="s">
        <v>252</v>
      </c>
      <c r="D54" s="376">
        <f>Daten_v_Kosten_Preise!C45</f>
        <v>240.66</v>
      </c>
      <c r="H54" s="369">
        <f>D54/ACALC_rd!C8</f>
        <v>4.8132000000000001E-2</v>
      </c>
    </row>
    <row r="55" spans="2:8" x14ac:dyDescent="0.2">
      <c r="D55" s="376"/>
      <c r="H55" s="369"/>
    </row>
    <row r="56" spans="2:8" x14ac:dyDescent="0.2">
      <c r="B56" t="s">
        <v>255</v>
      </c>
      <c r="D56" s="376">
        <f>C35*ACALC_rd!C8*Daten_v_Kosten_Preise!C47</f>
        <v>2342.0917963885408</v>
      </c>
      <c r="H56" s="369">
        <f>D56/ACALC_rd!C8</f>
        <v>0.4684183592777082</v>
      </c>
    </row>
    <row r="58" spans="2:8" x14ac:dyDescent="0.2">
      <c r="B58" s="245" t="s">
        <v>431</v>
      </c>
      <c r="C58" s="377"/>
      <c r="D58" s="377"/>
      <c r="E58" s="377"/>
      <c r="F58" s="377"/>
      <c r="G58" s="377"/>
      <c r="H58" s="354">
        <f>SUM(H50:H56)</f>
        <v>0.79634062149638063</v>
      </c>
    </row>
    <row r="59" spans="2:8" ht="7.5" customHeight="1" x14ac:dyDescent="0.2">
      <c r="B59" s="255"/>
      <c r="C59" s="374"/>
      <c r="D59" s="374"/>
      <c r="E59" s="375"/>
      <c r="F59" s="375"/>
      <c r="G59" s="375"/>
      <c r="H59" s="375"/>
    </row>
    <row r="60" spans="2:8" x14ac:dyDescent="0.2">
      <c r="B60" s="245" t="s">
        <v>432</v>
      </c>
      <c r="H60" s="368">
        <f>H48+H58</f>
        <v>18.825409021036915</v>
      </c>
    </row>
    <row r="61" spans="2:8" ht="7.5" customHeight="1" x14ac:dyDescent="0.2">
      <c r="B61" s="255"/>
      <c r="C61" s="374"/>
      <c r="D61" s="374"/>
      <c r="E61" s="375"/>
      <c r="F61" s="375"/>
      <c r="G61" s="375"/>
      <c r="H61" s="375"/>
    </row>
    <row r="63" spans="2:8" x14ac:dyDescent="0.2">
      <c r="B63" s="325" t="s">
        <v>257</v>
      </c>
      <c r="H63" s="369">
        <f>ACALC_rd!H23</f>
        <v>0.25</v>
      </c>
    </row>
    <row r="64" spans="2:8" x14ac:dyDescent="0.2">
      <c r="B64" s="325" t="s">
        <v>258</v>
      </c>
      <c r="H64" s="369">
        <f>ACALC_rd!H24</f>
        <v>0</v>
      </c>
    </row>
    <row r="65" spans="2:8" ht="7.5" customHeight="1" x14ac:dyDescent="0.2">
      <c r="B65" s="255"/>
      <c r="C65" s="374"/>
      <c r="D65" s="374"/>
      <c r="E65" s="375"/>
      <c r="F65" s="375"/>
      <c r="G65" s="375"/>
      <c r="H65" s="375"/>
    </row>
    <row r="66" spans="2:8" x14ac:dyDescent="0.2">
      <c r="B66" s="245" t="s">
        <v>260</v>
      </c>
      <c r="H66" s="368">
        <f>H60+H63+H64</f>
        <v>19.075409021036915</v>
      </c>
    </row>
    <row r="67" spans="2:8" ht="7.5" customHeight="1" x14ac:dyDescent="0.2">
      <c r="B67" s="255"/>
      <c r="C67" s="374"/>
      <c r="D67" s="374"/>
      <c r="E67" s="375"/>
      <c r="F67" s="375"/>
      <c r="G67" s="375"/>
      <c r="H67" s="375"/>
    </row>
    <row r="69" spans="2:8" x14ac:dyDescent="0.2">
      <c r="B69" s="325" t="s">
        <v>437</v>
      </c>
      <c r="H69" s="365">
        <f>ACALC_rd!C10-Arbeitsplan_rd!H63-Arbeitsplan_rd!H64</f>
        <v>6.75</v>
      </c>
    </row>
    <row r="70" spans="2:8" x14ac:dyDescent="0.2">
      <c r="B70" s="325" t="s">
        <v>266</v>
      </c>
      <c r="H70" s="365">
        <f>H63+H64</f>
        <v>0.25</v>
      </c>
    </row>
    <row r="71" spans="2:8" x14ac:dyDescent="0.2">
      <c r="B71" s="325" t="s">
        <v>261</v>
      </c>
      <c r="H71" s="365">
        <f>Metall_rd!D31</f>
        <v>12.7971643874964</v>
      </c>
    </row>
    <row r="72" spans="2:8" ht="7.5" customHeight="1" x14ac:dyDescent="0.2">
      <c r="B72" s="255"/>
      <c r="C72" s="374"/>
      <c r="D72" s="374"/>
      <c r="E72" s="375"/>
      <c r="F72" s="375"/>
      <c r="G72" s="375"/>
      <c r="H72" s="375"/>
    </row>
    <row r="73" spans="2:8" x14ac:dyDescent="0.2">
      <c r="B73" s="325" t="s">
        <v>262</v>
      </c>
      <c r="H73" s="368">
        <f>H69+H70+H71</f>
        <v>19.797164387496402</v>
      </c>
    </row>
    <row r="74" spans="2:8" ht="7.5" customHeight="1" x14ac:dyDescent="0.2">
      <c r="B74" s="255"/>
      <c r="C74" s="374"/>
      <c r="D74" s="374"/>
      <c r="E74" s="375"/>
      <c r="F74" s="375"/>
      <c r="G74" s="375"/>
      <c r="H74" s="375"/>
    </row>
    <row r="75" spans="2:8" x14ac:dyDescent="0.2">
      <c r="B75" s="325" t="s">
        <v>263</v>
      </c>
      <c r="H75" s="368">
        <f>H73-H66</f>
        <v>0.72175536645948668</v>
      </c>
    </row>
    <row r="76" spans="2:8" x14ac:dyDescent="0.2">
      <c r="B76" s="325" t="s">
        <v>89</v>
      </c>
      <c r="H76" s="378">
        <f>H75/H73</f>
        <v>3.6457512416037563E-2</v>
      </c>
    </row>
    <row r="77" spans="2:8" ht="7.5" customHeight="1" x14ac:dyDescent="0.2">
      <c r="B77" s="255"/>
      <c r="C77" s="374"/>
      <c r="D77" s="374"/>
      <c r="E77" s="375"/>
      <c r="F77" s="375"/>
      <c r="G77" s="375"/>
      <c r="H77" s="375"/>
    </row>
    <row r="80" spans="2:8" x14ac:dyDescent="0.2">
      <c r="B80" t="s">
        <v>450</v>
      </c>
    </row>
    <row r="82" spans="1:16" x14ac:dyDescent="0.2">
      <c r="B82" s="245" t="s">
        <v>375</v>
      </c>
    </row>
    <row r="84" spans="1:16" ht="25.5" x14ac:dyDescent="0.2">
      <c r="B84" s="326" t="s">
        <v>0</v>
      </c>
      <c r="C84" s="327" t="s">
        <v>1</v>
      </c>
      <c r="D84" s="327" t="s">
        <v>10</v>
      </c>
      <c r="E84" s="327" t="s">
        <v>2</v>
      </c>
      <c r="F84" s="328" t="s">
        <v>376</v>
      </c>
      <c r="G84" s="328" t="s">
        <v>392</v>
      </c>
      <c r="H84" s="327" t="s">
        <v>5</v>
      </c>
      <c r="I84" s="327" t="s">
        <v>20</v>
      </c>
      <c r="J84" s="327" t="s">
        <v>21</v>
      </c>
      <c r="K84" s="327" t="s">
        <v>6</v>
      </c>
      <c r="L84" s="327" t="s">
        <v>7</v>
      </c>
      <c r="M84" s="327" t="s">
        <v>8</v>
      </c>
      <c r="N84" s="329" t="s">
        <v>22</v>
      </c>
      <c r="O84" s="327" t="s">
        <v>9</v>
      </c>
      <c r="P84" s="327" t="s">
        <v>11</v>
      </c>
    </row>
    <row r="85" spans="1:16" x14ac:dyDescent="0.2">
      <c r="B85" t="str">
        <f>ACALC_rd!C6</f>
        <v>HVZ3+UMSP</v>
      </c>
      <c r="C85" s="330">
        <f>IF(B85="MTPVW+UMSPUL",Daten_v_Kosten_Preise!C55,Daten_v_Kosten_Preise!C51)</f>
        <v>14.45</v>
      </c>
      <c r="D85" s="331">
        <f>Daten_v_Kosten_Preise!D34</f>
        <v>0.5</v>
      </c>
      <c r="E85" s="332">
        <f>IF(B85="MTPVW+UMSPUL",Daten_v_Kosten_Preise!E25,IF(B85="HVZ",Daten_v_Kosten_Preise!E27,Daten_v_Kosten_Preise!E28))</f>
        <v>8.5</v>
      </c>
      <c r="F85" s="333">
        <f>ACALC_rd!C4</f>
        <v>0.32</v>
      </c>
      <c r="G85" s="349">
        <f>ACALC_rd!C17/1000</f>
        <v>1.4999999999999999E-2</v>
      </c>
      <c r="H85" s="335">
        <f>F85^2*PI()/4</f>
        <v>8.0424771931898703E-2</v>
      </c>
      <c r="I85" s="350">
        <f>((F85+2*G85)^2*PI()/4)-H85</f>
        <v>1.5786503084288694E-2</v>
      </c>
      <c r="J85" s="350">
        <f>H85+I85</f>
        <v>9.6211275016187398E-2</v>
      </c>
      <c r="K85" s="337">
        <f>Metall_rd!F9/1000</f>
        <v>8.6093304636403439E-4</v>
      </c>
      <c r="L85" s="338">
        <f>1/K85</f>
        <v>1161.5305095132369</v>
      </c>
      <c r="M85" s="339">
        <f>L85/E85</f>
        <v>136.65064817802786</v>
      </c>
      <c r="N85" s="340">
        <f>M85/3600</f>
        <v>3.7958513382785518E-2</v>
      </c>
      <c r="O85" s="341">
        <f>N85*C85</f>
        <v>0.54850051838125069</v>
      </c>
      <c r="P85" s="341">
        <f>N85*D85*Daten_v_Kosten_Preise!C39</f>
        <v>0.66427398419874661</v>
      </c>
    </row>
    <row r="87" spans="1:16" hidden="1" x14ac:dyDescent="0.2"/>
    <row r="88" spans="1:16" x14ac:dyDescent="0.2">
      <c r="A88" t="s">
        <v>68</v>
      </c>
      <c r="B88" s="325" t="s">
        <v>377</v>
      </c>
      <c r="C88" s="342">
        <v>2.5</v>
      </c>
      <c r="D88" s="324" t="s">
        <v>67</v>
      </c>
      <c r="E88" s="324">
        <f>ROUNDUP(ACALC_rd!C8/240,)</f>
        <v>21</v>
      </c>
      <c r="M88" s="324" t="s">
        <v>71</v>
      </c>
      <c r="N88" s="343">
        <f>C88*E88</f>
        <v>52.5</v>
      </c>
      <c r="O88" s="226">
        <f>N88*C85</f>
        <v>758.625</v>
      </c>
      <c r="P88" s="324">
        <f>N88*Daten_v_Kosten_Preise!C39</f>
        <v>1837.5</v>
      </c>
    </row>
    <row r="92" spans="1:16" hidden="1" x14ac:dyDescent="0.2"/>
    <row r="93" spans="1:16" hidden="1" x14ac:dyDescent="0.2"/>
    <row r="94" spans="1:16" x14ac:dyDescent="0.2">
      <c r="B94" s="245" t="s">
        <v>14</v>
      </c>
    </row>
    <row r="96" spans="1:16" ht="25.5" x14ac:dyDescent="0.2">
      <c r="B96" s="326" t="s">
        <v>0</v>
      </c>
      <c r="C96" s="327" t="s">
        <v>1</v>
      </c>
      <c r="D96" s="327" t="s">
        <v>10</v>
      </c>
      <c r="E96" s="327" t="s">
        <v>2</v>
      </c>
      <c r="F96" s="328" t="s">
        <v>376</v>
      </c>
      <c r="G96" s="327"/>
      <c r="H96" s="327" t="s">
        <v>5</v>
      </c>
      <c r="I96" s="327" t="s">
        <v>20</v>
      </c>
      <c r="J96" s="327" t="s">
        <v>21</v>
      </c>
      <c r="K96" s="327" t="s">
        <v>6</v>
      </c>
      <c r="L96" s="327" t="s">
        <v>7</v>
      </c>
      <c r="M96" s="327" t="s">
        <v>8</v>
      </c>
      <c r="N96" s="329" t="s">
        <v>22</v>
      </c>
      <c r="O96" s="327" t="s">
        <v>9</v>
      </c>
      <c r="P96" s="327" t="s">
        <v>11</v>
      </c>
    </row>
    <row r="97" spans="1:16" x14ac:dyDescent="0.2">
      <c r="B97" t="s">
        <v>378</v>
      </c>
      <c r="C97" s="330">
        <f>IF(B85="MTPVW+UMSPUL",Daten_v_Kosten_Preise!C54,IF(B85="HVZ",0,Daten_v_Kosten_Preise!C54))</f>
        <v>7.35</v>
      </c>
      <c r="D97" s="331">
        <f>Daten_v_Kosten_Preise!D33</f>
        <v>0.5</v>
      </c>
      <c r="E97" s="332">
        <f>IF(B85="MTPVW+UMSPUL",Daten_v_Kosten_Preise!E26,IF(B85="HVZ",0,Daten_v_Kosten_Preise!E26))</f>
        <v>10.5</v>
      </c>
      <c r="F97" s="333">
        <f>F85+2*G85</f>
        <v>0.35</v>
      </c>
      <c r="G97" s="334"/>
      <c r="H97" s="335">
        <f>H85</f>
        <v>8.0424771931898703E-2</v>
      </c>
      <c r="I97" s="336">
        <f>I85</f>
        <v>1.5786503084288694E-2</v>
      </c>
      <c r="J97" s="335">
        <f>H97+I97</f>
        <v>9.6211275016187398E-2</v>
      </c>
      <c r="K97" s="337">
        <f>K85</f>
        <v>8.6093304636403439E-4</v>
      </c>
      <c r="L97" s="338">
        <f>1/K97</f>
        <v>1161.5305095132369</v>
      </c>
      <c r="M97" s="339">
        <f>L97/E97</f>
        <v>110.62195328697494</v>
      </c>
      <c r="N97" s="340">
        <f>M97/3600</f>
        <v>3.0728320357493039E-2</v>
      </c>
      <c r="O97" s="341">
        <f>IF(E97=0,0,N97*C97)</f>
        <v>0.22585315462757383</v>
      </c>
      <c r="P97" s="341">
        <f>IF(E97=0,0,N97*Daten_v_Kosten_Preise!C39*D97)</f>
        <v>0.53774560625612822</v>
      </c>
    </row>
    <row r="99" spans="1:16" x14ac:dyDescent="0.2">
      <c r="A99" t="s">
        <v>68</v>
      </c>
      <c r="B99" s="325" t="s">
        <v>379</v>
      </c>
      <c r="C99" s="342">
        <v>0.04</v>
      </c>
      <c r="D99" s="324" t="s">
        <v>67</v>
      </c>
      <c r="E99" s="324">
        <f>ACALC_rd!C8/(3*Arbeitsplan_rd!C102)</f>
        <v>677.50677506775071</v>
      </c>
      <c r="M99" s="352" t="s">
        <v>398</v>
      </c>
      <c r="N99" s="343">
        <f>E99*C99</f>
        <v>27.100271002710031</v>
      </c>
      <c r="O99" s="226">
        <f>N99*C97</f>
        <v>199.18699186991873</v>
      </c>
      <c r="P99" s="324">
        <f>Daten_v_Kosten_Preise!C39*N99</f>
        <v>948.50948509485102</v>
      </c>
    </row>
    <row r="100" spans="1:16" x14ac:dyDescent="0.2">
      <c r="C100" s="342"/>
    </row>
    <row r="102" spans="1:16" x14ac:dyDescent="0.2">
      <c r="B102" s="325" t="s">
        <v>397</v>
      </c>
      <c r="C102" s="226">
        <f>ACALC_rd!C20</f>
        <v>2.46</v>
      </c>
      <c r="M102" s="324" t="s">
        <v>73</v>
      </c>
      <c r="N102" s="231">
        <f>N88+N99</f>
        <v>79.600271002710031</v>
      </c>
      <c r="O102" s="226">
        <f>O88+O99</f>
        <v>957.81199186991876</v>
      </c>
      <c r="P102" s="324">
        <f>P88+P99</f>
        <v>2786.0094850948508</v>
      </c>
    </row>
    <row r="103" spans="1:16" x14ac:dyDescent="0.2">
      <c r="B103" s="325"/>
      <c r="N103" s="231"/>
      <c r="O103" s="226"/>
    </row>
    <row r="104" spans="1:16" x14ac:dyDescent="0.2">
      <c r="B104" s="325"/>
      <c r="N104" s="231"/>
      <c r="O104" s="226"/>
    </row>
    <row r="105" spans="1:16" x14ac:dyDescent="0.2">
      <c r="B105" s="245" t="s">
        <v>415</v>
      </c>
      <c r="N105" s="231"/>
      <c r="O105" s="226"/>
    </row>
    <row r="106" spans="1:16" x14ac:dyDescent="0.2">
      <c r="B106" s="325"/>
      <c r="N106" s="231"/>
      <c r="O106" s="226" t="s">
        <v>223</v>
      </c>
      <c r="P106" s="324" t="s">
        <v>224</v>
      </c>
    </row>
    <row r="107" spans="1:16" s="357" customFormat="1" ht="11.25" x14ac:dyDescent="0.2">
      <c r="B107" s="357" t="s">
        <v>209</v>
      </c>
      <c r="C107" s="221" t="s">
        <v>139</v>
      </c>
      <c r="D107" s="221" t="s">
        <v>10</v>
      </c>
      <c r="E107" s="221" t="s">
        <v>216</v>
      </c>
      <c r="F107" s="221" t="s">
        <v>221</v>
      </c>
      <c r="G107" s="221" t="s">
        <v>222</v>
      </c>
      <c r="H107" s="221"/>
      <c r="I107" s="221"/>
      <c r="J107" s="221"/>
      <c r="K107" s="221"/>
      <c r="L107" s="221"/>
      <c r="M107" s="221"/>
      <c r="N107" s="358"/>
      <c r="O107" s="359">
        <f>F108</f>
        <v>763.5</v>
      </c>
      <c r="P107" s="221">
        <f>G108*Daten_v_Kosten_Preise!C39</f>
        <v>5.6000000000000005</v>
      </c>
    </row>
    <row r="108" spans="1:16" x14ac:dyDescent="0.2">
      <c r="B108" s="325" t="str">
        <f>Verpackung!R34</f>
        <v>84er</v>
      </c>
      <c r="C108" s="324">
        <f>Verpackung!Y34</f>
        <v>25</v>
      </c>
      <c r="D108" s="324">
        <v>1</v>
      </c>
      <c r="E108" s="324">
        <f>Verpackung!X34</f>
        <v>206.64</v>
      </c>
      <c r="F108" s="360">
        <f>Verpackung!Z34</f>
        <v>763.5</v>
      </c>
      <c r="G108" s="324">
        <f>Verpackung!T38</f>
        <v>0.16</v>
      </c>
      <c r="N108" s="231"/>
      <c r="O108" s="226"/>
    </row>
    <row r="109" spans="1:16" x14ac:dyDescent="0.2">
      <c r="B109" s="325"/>
      <c r="N109" s="231"/>
      <c r="O109" s="226"/>
    </row>
    <row r="110" spans="1:16" x14ac:dyDescent="0.2">
      <c r="B110" s="245" t="s">
        <v>148</v>
      </c>
      <c r="N110" s="231"/>
      <c r="O110" s="226"/>
    </row>
    <row r="111" spans="1:16" x14ac:dyDescent="0.2">
      <c r="A111" s="355" t="s">
        <v>225</v>
      </c>
      <c r="B111" s="355" t="s">
        <v>214</v>
      </c>
      <c r="C111" s="356" t="s">
        <v>159</v>
      </c>
      <c r="D111" s="356" t="s">
        <v>160</v>
      </c>
      <c r="H111" s="352" t="s">
        <v>416</v>
      </c>
      <c r="K111" s="352" t="s">
        <v>168</v>
      </c>
      <c r="N111" s="231"/>
      <c r="O111" s="226"/>
    </row>
    <row r="112" spans="1:16" x14ac:dyDescent="0.2">
      <c r="A112" t="str">
        <f>ACALC_rd!C23</f>
        <v>Spule_20H</v>
      </c>
      <c r="B112" s="325">
        <f>Verpackung!N34</f>
        <v>1.1568500000000002</v>
      </c>
      <c r="C112" s="324">
        <f>Verpackung!P34</f>
        <v>2.46</v>
      </c>
      <c r="D112" s="324" t="str">
        <f>ACALC_rd!C24</f>
        <v>Nein</v>
      </c>
      <c r="H112" s="324">
        <f>Verpackung!W34</f>
        <v>84</v>
      </c>
      <c r="K112" s="360">
        <f>Verpackung!AA34</f>
        <v>2351.3211382113823</v>
      </c>
      <c r="N112" s="231"/>
      <c r="O112" s="226"/>
    </row>
    <row r="113" spans="2:17" x14ac:dyDescent="0.2">
      <c r="B113" s="325"/>
      <c r="N113" s="231"/>
      <c r="O113" s="226"/>
    </row>
    <row r="117" spans="2:17" x14ac:dyDescent="0.2">
      <c r="N117" s="324" t="s">
        <v>22</v>
      </c>
      <c r="O117" s="324" t="s">
        <v>380</v>
      </c>
      <c r="P117" s="324" t="s">
        <v>11</v>
      </c>
      <c r="Q117" t="s">
        <v>381</v>
      </c>
    </row>
    <row r="118" spans="2:17" x14ac:dyDescent="0.2">
      <c r="M118" s="324" t="s">
        <v>382</v>
      </c>
      <c r="N118" s="340">
        <f>N85+N97</f>
        <v>6.8686833740278563E-2</v>
      </c>
      <c r="O118" s="341">
        <f>O85+O97</f>
        <v>0.77435367300882452</v>
      </c>
      <c r="P118" s="341">
        <f>P85+P97</f>
        <v>1.2020195904548747</v>
      </c>
      <c r="Q118" s="344">
        <f>O118+P118</f>
        <v>1.9763732634636992</v>
      </c>
    </row>
    <row r="119" spans="2:17" ht="13.5" thickBot="1" x14ac:dyDescent="0.25">
      <c r="M119" s="345" t="s">
        <v>383</v>
      </c>
      <c r="N119" s="346">
        <f>N102/ACALC_rd!C8</f>
        <v>1.5920054200542006E-2</v>
      </c>
      <c r="O119" s="347">
        <f>O102/ACALC_rd!C8</f>
        <v>0.19156239837398376</v>
      </c>
      <c r="P119" s="347">
        <f>P102/ACALC_rd!C8</f>
        <v>0.55720189701897016</v>
      </c>
      <c r="Q119" s="348">
        <f>O119+P119</f>
        <v>0.74876429539295386</v>
      </c>
    </row>
    <row r="120" spans="2:17" ht="14.25" thickTop="1" thickBot="1" x14ac:dyDescent="0.25">
      <c r="N120" s="340">
        <f>SUM(N118:N119)</f>
        <v>8.4606887940820566E-2</v>
      </c>
      <c r="O120" s="347">
        <f>SUM(O118:O119)</f>
        <v>0.96591607138280833</v>
      </c>
      <c r="P120" s="347">
        <f>SUM(P118:P119)</f>
        <v>1.759221487473845</v>
      </c>
      <c r="Q120" s="348">
        <f>SUM(Q118:Q119)</f>
        <v>2.7251375588566531</v>
      </c>
    </row>
    <row r="121" spans="2:17" ht="13.5" thickTop="1" x14ac:dyDescent="0.2">
      <c r="M121" s="224"/>
    </row>
    <row r="123" spans="2:17" x14ac:dyDescent="0.2">
      <c r="B123" t="s">
        <v>384</v>
      </c>
    </row>
    <row r="125" spans="2:17" x14ac:dyDescent="0.2">
      <c r="B125" t="s">
        <v>385</v>
      </c>
      <c r="C125" s="330">
        <v>17.899999999999999</v>
      </c>
    </row>
    <row r="126" spans="2:17" x14ac:dyDescent="0.2">
      <c r="B126" t="s">
        <v>386</v>
      </c>
      <c r="C126" s="330">
        <v>6.11</v>
      </c>
    </row>
    <row r="127" spans="2:17" x14ac:dyDescent="0.2">
      <c r="B127" t="s">
        <v>387</v>
      </c>
      <c r="C127" s="330">
        <v>21.5</v>
      </c>
    </row>
  </sheetData>
  <dataValidations count="3">
    <dataValidation type="list" allowBlank="1" showInputMessage="1" showErrorMessage="1" error="Keine Maschine ausgewählt" sqref="WVJ983136 IX85 ST85 ACP85 AML85 AWH85 BGD85 BPZ85 BZV85 CJR85 CTN85 DDJ85 DNF85 DXB85 EGX85 EQT85 FAP85 FKL85 FUH85 GED85 GNZ85 GXV85 HHR85 HRN85 IBJ85 ILF85 IVB85 JEX85 JOT85 JYP85 KIL85 KSH85 LCD85 LLZ85 LVV85 MFR85 MPN85 MZJ85 NJF85 NTB85 OCX85 OMT85 OWP85 PGL85 PQH85 QAD85 QJZ85 QTV85 RDR85 RNN85 RXJ85 SHF85 SRB85 TAX85 TKT85 TUP85 UEL85 UOH85 UYD85 VHZ85 VRV85 WBR85 WLN85 WVJ85 B65632 IX65632 ST65632 ACP65632 AML65632 AWH65632 BGD65632 BPZ65632 BZV65632 CJR65632 CTN65632 DDJ65632 DNF65632 DXB65632 EGX65632 EQT65632 FAP65632 FKL65632 FUH65632 GED65632 GNZ65632 GXV65632 HHR65632 HRN65632 IBJ65632 ILF65632 IVB65632 JEX65632 JOT65632 JYP65632 KIL65632 KSH65632 LCD65632 LLZ65632 LVV65632 MFR65632 MPN65632 MZJ65632 NJF65632 NTB65632 OCX65632 OMT65632 OWP65632 PGL65632 PQH65632 QAD65632 QJZ65632 QTV65632 RDR65632 RNN65632 RXJ65632 SHF65632 SRB65632 TAX65632 TKT65632 TUP65632 UEL65632 UOH65632 UYD65632 VHZ65632 VRV65632 WBR65632 WLN65632 WVJ65632 B131168 IX131168 ST131168 ACP131168 AML131168 AWH131168 BGD131168 BPZ131168 BZV131168 CJR131168 CTN131168 DDJ131168 DNF131168 DXB131168 EGX131168 EQT131168 FAP131168 FKL131168 FUH131168 GED131168 GNZ131168 GXV131168 HHR131168 HRN131168 IBJ131168 ILF131168 IVB131168 JEX131168 JOT131168 JYP131168 KIL131168 KSH131168 LCD131168 LLZ131168 LVV131168 MFR131168 MPN131168 MZJ131168 NJF131168 NTB131168 OCX131168 OMT131168 OWP131168 PGL131168 PQH131168 QAD131168 QJZ131168 QTV131168 RDR131168 RNN131168 RXJ131168 SHF131168 SRB131168 TAX131168 TKT131168 TUP131168 UEL131168 UOH131168 UYD131168 VHZ131168 VRV131168 WBR131168 WLN131168 WVJ131168 B196704 IX196704 ST196704 ACP196704 AML196704 AWH196704 BGD196704 BPZ196704 BZV196704 CJR196704 CTN196704 DDJ196704 DNF196704 DXB196704 EGX196704 EQT196704 FAP196704 FKL196704 FUH196704 GED196704 GNZ196704 GXV196704 HHR196704 HRN196704 IBJ196704 ILF196704 IVB196704 JEX196704 JOT196704 JYP196704 KIL196704 KSH196704 LCD196704 LLZ196704 LVV196704 MFR196704 MPN196704 MZJ196704 NJF196704 NTB196704 OCX196704 OMT196704 OWP196704 PGL196704 PQH196704 QAD196704 QJZ196704 QTV196704 RDR196704 RNN196704 RXJ196704 SHF196704 SRB196704 TAX196704 TKT196704 TUP196704 UEL196704 UOH196704 UYD196704 VHZ196704 VRV196704 WBR196704 WLN196704 WVJ196704 B262240 IX262240 ST262240 ACP262240 AML262240 AWH262240 BGD262240 BPZ262240 BZV262240 CJR262240 CTN262240 DDJ262240 DNF262240 DXB262240 EGX262240 EQT262240 FAP262240 FKL262240 FUH262240 GED262240 GNZ262240 GXV262240 HHR262240 HRN262240 IBJ262240 ILF262240 IVB262240 JEX262240 JOT262240 JYP262240 KIL262240 KSH262240 LCD262240 LLZ262240 LVV262240 MFR262240 MPN262240 MZJ262240 NJF262240 NTB262240 OCX262240 OMT262240 OWP262240 PGL262240 PQH262240 QAD262240 QJZ262240 QTV262240 RDR262240 RNN262240 RXJ262240 SHF262240 SRB262240 TAX262240 TKT262240 TUP262240 UEL262240 UOH262240 UYD262240 VHZ262240 VRV262240 WBR262240 WLN262240 WVJ262240 B327776 IX327776 ST327776 ACP327776 AML327776 AWH327776 BGD327776 BPZ327776 BZV327776 CJR327776 CTN327776 DDJ327776 DNF327776 DXB327776 EGX327776 EQT327776 FAP327776 FKL327776 FUH327776 GED327776 GNZ327776 GXV327776 HHR327776 HRN327776 IBJ327776 ILF327776 IVB327776 JEX327776 JOT327776 JYP327776 KIL327776 KSH327776 LCD327776 LLZ327776 LVV327776 MFR327776 MPN327776 MZJ327776 NJF327776 NTB327776 OCX327776 OMT327776 OWP327776 PGL327776 PQH327776 QAD327776 QJZ327776 QTV327776 RDR327776 RNN327776 RXJ327776 SHF327776 SRB327776 TAX327776 TKT327776 TUP327776 UEL327776 UOH327776 UYD327776 VHZ327776 VRV327776 WBR327776 WLN327776 WVJ327776 B393312 IX393312 ST393312 ACP393312 AML393312 AWH393312 BGD393312 BPZ393312 BZV393312 CJR393312 CTN393312 DDJ393312 DNF393312 DXB393312 EGX393312 EQT393312 FAP393312 FKL393312 FUH393312 GED393312 GNZ393312 GXV393312 HHR393312 HRN393312 IBJ393312 ILF393312 IVB393312 JEX393312 JOT393312 JYP393312 KIL393312 KSH393312 LCD393312 LLZ393312 LVV393312 MFR393312 MPN393312 MZJ393312 NJF393312 NTB393312 OCX393312 OMT393312 OWP393312 PGL393312 PQH393312 QAD393312 QJZ393312 QTV393312 RDR393312 RNN393312 RXJ393312 SHF393312 SRB393312 TAX393312 TKT393312 TUP393312 UEL393312 UOH393312 UYD393312 VHZ393312 VRV393312 WBR393312 WLN393312 WVJ393312 B458848 IX458848 ST458848 ACP458848 AML458848 AWH458848 BGD458848 BPZ458848 BZV458848 CJR458848 CTN458848 DDJ458848 DNF458848 DXB458848 EGX458848 EQT458848 FAP458848 FKL458848 FUH458848 GED458848 GNZ458848 GXV458848 HHR458848 HRN458848 IBJ458848 ILF458848 IVB458848 JEX458848 JOT458848 JYP458848 KIL458848 KSH458848 LCD458848 LLZ458848 LVV458848 MFR458848 MPN458848 MZJ458848 NJF458848 NTB458848 OCX458848 OMT458848 OWP458848 PGL458848 PQH458848 QAD458848 QJZ458848 QTV458848 RDR458848 RNN458848 RXJ458848 SHF458848 SRB458848 TAX458848 TKT458848 TUP458848 UEL458848 UOH458848 UYD458848 VHZ458848 VRV458848 WBR458848 WLN458848 WVJ458848 B524384 IX524384 ST524384 ACP524384 AML524384 AWH524384 BGD524384 BPZ524384 BZV524384 CJR524384 CTN524384 DDJ524384 DNF524384 DXB524384 EGX524384 EQT524384 FAP524384 FKL524384 FUH524384 GED524384 GNZ524384 GXV524384 HHR524384 HRN524384 IBJ524384 ILF524384 IVB524384 JEX524384 JOT524384 JYP524384 KIL524384 KSH524384 LCD524384 LLZ524384 LVV524384 MFR524384 MPN524384 MZJ524384 NJF524384 NTB524384 OCX524384 OMT524384 OWP524384 PGL524384 PQH524384 QAD524384 QJZ524384 QTV524384 RDR524384 RNN524384 RXJ524384 SHF524384 SRB524384 TAX524384 TKT524384 TUP524384 UEL524384 UOH524384 UYD524384 VHZ524384 VRV524384 WBR524384 WLN524384 WVJ524384 B589920 IX589920 ST589920 ACP589920 AML589920 AWH589920 BGD589920 BPZ589920 BZV589920 CJR589920 CTN589920 DDJ589920 DNF589920 DXB589920 EGX589920 EQT589920 FAP589920 FKL589920 FUH589920 GED589920 GNZ589920 GXV589920 HHR589920 HRN589920 IBJ589920 ILF589920 IVB589920 JEX589920 JOT589920 JYP589920 KIL589920 KSH589920 LCD589920 LLZ589920 LVV589920 MFR589920 MPN589920 MZJ589920 NJF589920 NTB589920 OCX589920 OMT589920 OWP589920 PGL589920 PQH589920 QAD589920 QJZ589920 QTV589920 RDR589920 RNN589920 RXJ589920 SHF589920 SRB589920 TAX589920 TKT589920 TUP589920 UEL589920 UOH589920 UYD589920 VHZ589920 VRV589920 WBR589920 WLN589920 WVJ589920 B655456 IX655456 ST655456 ACP655456 AML655456 AWH655456 BGD655456 BPZ655456 BZV655456 CJR655456 CTN655456 DDJ655456 DNF655456 DXB655456 EGX655456 EQT655456 FAP655456 FKL655456 FUH655456 GED655456 GNZ655456 GXV655456 HHR655456 HRN655456 IBJ655456 ILF655456 IVB655456 JEX655456 JOT655456 JYP655456 KIL655456 KSH655456 LCD655456 LLZ655456 LVV655456 MFR655456 MPN655456 MZJ655456 NJF655456 NTB655456 OCX655456 OMT655456 OWP655456 PGL655456 PQH655456 QAD655456 QJZ655456 QTV655456 RDR655456 RNN655456 RXJ655456 SHF655456 SRB655456 TAX655456 TKT655456 TUP655456 UEL655456 UOH655456 UYD655456 VHZ655456 VRV655456 WBR655456 WLN655456 WVJ655456 B720992 IX720992 ST720992 ACP720992 AML720992 AWH720992 BGD720992 BPZ720992 BZV720992 CJR720992 CTN720992 DDJ720992 DNF720992 DXB720992 EGX720992 EQT720992 FAP720992 FKL720992 FUH720992 GED720992 GNZ720992 GXV720992 HHR720992 HRN720992 IBJ720992 ILF720992 IVB720992 JEX720992 JOT720992 JYP720992 KIL720992 KSH720992 LCD720992 LLZ720992 LVV720992 MFR720992 MPN720992 MZJ720992 NJF720992 NTB720992 OCX720992 OMT720992 OWP720992 PGL720992 PQH720992 QAD720992 QJZ720992 QTV720992 RDR720992 RNN720992 RXJ720992 SHF720992 SRB720992 TAX720992 TKT720992 TUP720992 UEL720992 UOH720992 UYD720992 VHZ720992 VRV720992 WBR720992 WLN720992 WVJ720992 B786528 IX786528 ST786528 ACP786528 AML786528 AWH786528 BGD786528 BPZ786528 BZV786528 CJR786528 CTN786528 DDJ786528 DNF786528 DXB786528 EGX786528 EQT786528 FAP786528 FKL786528 FUH786528 GED786528 GNZ786528 GXV786528 HHR786528 HRN786528 IBJ786528 ILF786528 IVB786528 JEX786528 JOT786528 JYP786528 KIL786528 KSH786528 LCD786528 LLZ786528 LVV786528 MFR786528 MPN786528 MZJ786528 NJF786528 NTB786528 OCX786528 OMT786528 OWP786528 PGL786528 PQH786528 QAD786528 QJZ786528 QTV786528 RDR786528 RNN786528 RXJ786528 SHF786528 SRB786528 TAX786528 TKT786528 TUP786528 UEL786528 UOH786528 UYD786528 VHZ786528 VRV786528 WBR786528 WLN786528 WVJ786528 B852064 IX852064 ST852064 ACP852064 AML852064 AWH852064 BGD852064 BPZ852064 BZV852064 CJR852064 CTN852064 DDJ852064 DNF852064 DXB852064 EGX852064 EQT852064 FAP852064 FKL852064 FUH852064 GED852064 GNZ852064 GXV852064 HHR852064 HRN852064 IBJ852064 ILF852064 IVB852064 JEX852064 JOT852064 JYP852064 KIL852064 KSH852064 LCD852064 LLZ852064 LVV852064 MFR852064 MPN852064 MZJ852064 NJF852064 NTB852064 OCX852064 OMT852064 OWP852064 PGL852064 PQH852064 QAD852064 QJZ852064 QTV852064 RDR852064 RNN852064 RXJ852064 SHF852064 SRB852064 TAX852064 TKT852064 TUP852064 UEL852064 UOH852064 UYD852064 VHZ852064 VRV852064 WBR852064 WLN852064 WVJ852064 B917600 IX917600 ST917600 ACP917600 AML917600 AWH917600 BGD917600 BPZ917600 BZV917600 CJR917600 CTN917600 DDJ917600 DNF917600 DXB917600 EGX917600 EQT917600 FAP917600 FKL917600 FUH917600 GED917600 GNZ917600 GXV917600 HHR917600 HRN917600 IBJ917600 ILF917600 IVB917600 JEX917600 JOT917600 JYP917600 KIL917600 KSH917600 LCD917600 LLZ917600 LVV917600 MFR917600 MPN917600 MZJ917600 NJF917600 NTB917600 OCX917600 OMT917600 OWP917600 PGL917600 PQH917600 QAD917600 QJZ917600 QTV917600 RDR917600 RNN917600 RXJ917600 SHF917600 SRB917600 TAX917600 TKT917600 TUP917600 UEL917600 UOH917600 UYD917600 VHZ917600 VRV917600 WBR917600 WLN917600 WVJ917600 B983136 IX983136 ST983136 ACP983136 AML983136 AWH983136 BGD983136 BPZ983136 BZV983136 CJR983136 CTN983136 DDJ983136 DNF983136 DXB983136 EGX983136 EQT983136 FAP983136 FKL983136 FUH983136 GED983136 GNZ983136 GXV983136 HHR983136 HRN983136 IBJ983136 ILF983136 IVB983136 JEX983136 JOT983136 JYP983136 KIL983136 KSH983136 LCD983136 LLZ983136 LVV983136 MFR983136 MPN983136 MZJ983136 NJF983136 NTB983136 OCX983136 OMT983136 OWP983136 PGL983136 PQH983136 QAD983136 QJZ983136 QTV983136 RDR983136 RNN983136 RXJ983136 SHF983136 SRB983136 TAX983136 TKT983136 TUP983136 UEL983136 UOH983136 UYD983136 VHZ983136 VRV983136 WBR983136 WLN983136" xr:uid="{00000000-0002-0000-0000-000000000000}">
      <formula1>"Bühler, Fuhr, Fenn, HVZ, Umspulanlage, MultiWire"</formula1>
    </dataValidation>
    <dataValidation type="list" allowBlank="1" showInputMessage="1" showErrorMessage="1" error="Keine Maschine ausgewählt" sqref="B97 IX97 ST97 ACP97 AML97 AWH97 BGD97 BPZ97 BZV97 CJR97 CTN97 DDJ97 DNF97 DXB97 EGX97 EQT97 FAP97 FKL97 FUH97 GED97 GNZ97 GXV97 HHR97 HRN97 IBJ97 ILF97 IVB97 JEX97 JOT97 JYP97 KIL97 KSH97 LCD97 LLZ97 LVV97 MFR97 MPN97 MZJ97 NJF97 NTB97 OCX97 OMT97 OWP97 PGL97 PQH97 QAD97 QJZ97 QTV97 RDR97 RNN97 RXJ97 SHF97 SRB97 TAX97 TKT97 TUP97 UEL97 UOH97 UYD97 VHZ97 VRV97 WBR97 WLN97 WVJ97 B65644 IX65644 ST65644 ACP65644 AML65644 AWH65644 BGD65644 BPZ65644 BZV65644 CJR65644 CTN65644 DDJ65644 DNF65644 DXB65644 EGX65644 EQT65644 FAP65644 FKL65644 FUH65644 GED65644 GNZ65644 GXV65644 HHR65644 HRN65644 IBJ65644 ILF65644 IVB65644 JEX65644 JOT65644 JYP65644 KIL65644 KSH65644 LCD65644 LLZ65644 LVV65644 MFR65644 MPN65644 MZJ65644 NJF65644 NTB65644 OCX65644 OMT65644 OWP65644 PGL65644 PQH65644 QAD65644 QJZ65644 QTV65644 RDR65644 RNN65644 RXJ65644 SHF65644 SRB65644 TAX65644 TKT65644 TUP65644 UEL65644 UOH65644 UYD65644 VHZ65644 VRV65644 WBR65644 WLN65644 WVJ65644 B131180 IX131180 ST131180 ACP131180 AML131180 AWH131180 BGD131180 BPZ131180 BZV131180 CJR131180 CTN131180 DDJ131180 DNF131180 DXB131180 EGX131180 EQT131180 FAP131180 FKL131180 FUH131180 GED131180 GNZ131180 GXV131180 HHR131180 HRN131180 IBJ131180 ILF131180 IVB131180 JEX131180 JOT131180 JYP131180 KIL131180 KSH131180 LCD131180 LLZ131180 LVV131180 MFR131180 MPN131180 MZJ131180 NJF131180 NTB131180 OCX131180 OMT131180 OWP131180 PGL131180 PQH131180 QAD131180 QJZ131180 QTV131180 RDR131180 RNN131180 RXJ131180 SHF131180 SRB131180 TAX131180 TKT131180 TUP131180 UEL131180 UOH131180 UYD131180 VHZ131180 VRV131180 WBR131180 WLN131180 WVJ131180 B196716 IX196716 ST196716 ACP196716 AML196716 AWH196716 BGD196716 BPZ196716 BZV196716 CJR196716 CTN196716 DDJ196716 DNF196716 DXB196716 EGX196716 EQT196716 FAP196716 FKL196716 FUH196716 GED196716 GNZ196716 GXV196716 HHR196716 HRN196716 IBJ196716 ILF196716 IVB196716 JEX196716 JOT196716 JYP196716 KIL196716 KSH196716 LCD196716 LLZ196716 LVV196716 MFR196716 MPN196716 MZJ196716 NJF196716 NTB196716 OCX196716 OMT196716 OWP196716 PGL196716 PQH196716 QAD196716 QJZ196716 QTV196716 RDR196716 RNN196716 RXJ196716 SHF196716 SRB196716 TAX196716 TKT196716 TUP196716 UEL196716 UOH196716 UYD196716 VHZ196716 VRV196716 WBR196716 WLN196716 WVJ196716 B262252 IX262252 ST262252 ACP262252 AML262252 AWH262252 BGD262252 BPZ262252 BZV262252 CJR262252 CTN262252 DDJ262252 DNF262252 DXB262252 EGX262252 EQT262252 FAP262252 FKL262252 FUH262252 GED262252 GNZ262252 GXV262252 HHR262252 HRN262252 IBJ262252 ILF262252 IVB262252 JEX262252 JOT262252 JYP262252 KIL262252 KSH262252 LCD262252 LLZ262252 LVV262252 MFR262252 MPN262252 MZJ262252 NJF262252 NTB262252 OCX262252 OMT262252 OWP262252 PGL262252 PQH262252 QAD262252 QJZ262252 QTV262252 RDR262252 RNN262252 RXJ262252 SHF262252 SRB262252 TAX262252 TKT262252 TUP262252 UEL262252 UOH262252 UYD262252 VHZ262252 VRV262252 WBR262252 WLN262252 WVJ262252 B327788 IX327788 ST327788 ACP327788 AML327788 AWH327788 BGD327788 BPZ327788 BZV327788 CJR327788 CTN327788 DDJ327788 DNF327788 DXB327788 EGX327788 EQT327788 FAP327788 FKL327788 FUH327788 GED327788 GNZ327788 GXV327788 HHR327788 HRN327788 IBJ327788 ILF327788 IVB327788 JEX327788 JOT327788 JYP327788 KIL327788 KSH327788 LCD327788 LLZ327788 LVV327788 MFR327788 MPN327788 MZJ327788 NJF327788 NTB327788 OCX327788 OMT327788 OWP327788 PGL327788 PQH327788 QAD327788 QJZ327788 QTV327788 RDR327788 RNN327788 RXJ327788 SHF327788 SRB327788 TAX327788 TKT327788 TUP327788 UEL327788 UOH327788 UYD327788 VHZ327788 VRV327788 WBR327788 WLN327788 WVJ327788 B393324 IX393324 ST393324 ACP393324 AML393324 AWH393324 BGD393324 BPZ393324 BZV393324 CJR393324 CTN393324 DDJ393324 DNF393324 DXB393324 EGX393324 EQT393324 FAP393324 FKL393324 FUH393324 GED393324 GNZ393324 GXV393324 HHR393324 HRN393324 IBJ393324 ILF393324 IVB393324 JEX393324 JOT393324 JYP393324 KIL393324 KSH393324 LCD393324 LLZ393324 LVV393324 MFR393324 MPN393324 MZJ393324 NJF393324 NTB393324 OCX393324 OMT393324 OWP393324 PGL393324 PQH393324 QAD393324 QJZ393324 QTV393324 RDR393324 RNN393324 RXJ393324 SHF393324 SRB393324 TAX393324 TKT393324 TUP393324 UEL393324 UOH393324 UYD393324 VHZ393324 VRV393324 WBR393324 WLN393324 WVJ393324 B458860 IX458860 ST458860 ACP458860 AML458860 AWH458860 BGD458860 BPZ458860 BZV458860 CJR458860 CTN458860 DDJ458860 DNF458860 DXB458860 EGX458860 EQT458860 FAP458860 FKL458860 FUH458860 GED458860 GNZ458860 GXV458860 HHR458860 HRN458860 IBJ458860 ILF458860 IVB458860 JEX458860 JOT458860 JYP458860 KIL458860 KSH458860 LCD458860 LLZ458860 LVV458860 MFR458860 MPN458860 MZJ458860 NJF458860 NTB458860 OCX458860 OMT458860 OWP458860 PGL458860 PQH458860 QAD458860 QJZ458860 QTV458860 RDR458860 RNN458860 RXJ458860 SHF458860 SRB458860 TAX458860 TKT458860 TUP458860 UEL458860 UOH458860 UYD458860 VHZ458860 VRV458860 WBR458860 WLN458860 WVJ458860 B524396 IX524396 ST524396 ACP524396 AML524396 AWH524396 BGD524396 BPZ524396 BZV524396 CJR524396 CTN524396 DDJ524396 DNF524396 DXB524396 EGX524396 EQT524396 FAP524396 FKL524396 FUH524396 GED524396 GNZ524396 GXV524396 HHR524396 HRN524396 IBJ524396 ILF524396 IVB524396 JEX524396 JOT524396 JYP524396 KIL524396 KSH524396 LCD524396 LLZ524396 LVV524396 MFR524396 MPN524396 MZJ524396 NJF524396 NTB524396 OCX524396 OMT524396 OWP524396 PGL524396 PQH524396 QAD524396 QJZ524396 QTV524396 RDR524396 RNN524396 RXJ524396 SHF524396 SRB524396 TAX524396 TKT524396 TUP524396 UEL524396 UOH524396 UYD524396 VHZ524396 VRV524396 WBR524396 WLN524396 WVJ524396 B589932 IX589932 ST589932 ACP589932 AML589932 AWH589932 BGD589932 BPZ589932 BZV589932 CJR589932 CTN589932 DDJ589932 DNF589932 DXB589932 EGX589932 EQT589932 FAP589932 FKL589932 FUH589932 GED589932 GNZ589932 GXV589932 HHR589932 HRN589932 IBJ589932 ILF589932 IVB589932 JEX589932 JOT589932 JYP589932 KIL589932 KSH589932 LCD589932 LLZ589932 LVV589932 MFR589932 MPN589932 MZJ589932 NJF589932 NTB589932 OCX589932 OMT589932 OWP589932 PGL589932 PQH589932 QAD589932 QJZ589932 QTV589932 RDR589932 RNN589932 RXJ589932 SHF589932 SRB589932 TAX589932 TKT589932 TUP589932 UEL589932 UOH589932 UYD589932 VHZ589932 VRV589932 WBR589932 WLN589932 WVJ589932 B655468 IX655468 ST655468 ACP655468 AML655468 AWH655468 BGD655468 BPZ655468 BZV655468 CJR655468 CTN655468 DDJ655468 DNF655468 DXB655468 EGX655468 EQT655468 FAP655468 FKL655468 FUH655468 GED655468 GNZ655468 GXV655468 HHR655468 HRN655468 IBJ655468 ILF655468 IVB655468 JEX655468 JOT655468 JYP655468 KIL655468 KSH655468 LCD655468 LLZ655468 LVV655468 MFR655468 MPN655468 MZJ655468 NJF655468 NTB655468 OCX655468 OMT655468 OWP655468 PGL655468 PQH655468 QAD655468 QJZ655468 QTV655468 RDR655468 RNN655468 RXJ655468 SHF655468 SRB655468 TAX655468 TKT655468 TUP655468 UEL655468 UOH655468 UYD655468 VHZ655468 VRV655468 WBR655468 WLN655468 WVJ655468 B721004 IX721004 ST721004 ACP721004 AML721004 AWH721004 BGD721004 BPZ721004 BZV721004 CJR721004 CTN721004 DDJ721004 DNF721004 DXB721004 EGX721004 EQT721004 FAP721004 FKL721004 FUH721004 GED721004 GNZ721004 GXV721004 HHR721004 HRN721004 IBJ721004 ILF721004 IVB721004 JEX721004 JOT721004 JYP721004 KIL721004 KSH721004 LCD721004 LLZ721004 LVV721004 MFR721004 MPN721004 MZJ721004 NJF721004 NTB721004 OCX721004 OMT721004 OWP721004 PGL721004 PQH721004 QAD721004 QJZ721004 QTV721004 RDR721004 RNN721004 RXJ721004 SHF721004 SRB721004 TAX721004 TKT721004 TUP721004 UEL721004 UOH721004 UYD721004 VHZ721004 VRV721004 WBR721004 WLN721004 WVJ721004 B786540 IX786540 ST786540 ACP786540 AML786540 AWH786540 BGD786540 BPZ786540 BZV786540 CJR786540 CTN786540 DDJ786540 DNF786540 DXB786540 EGX786540 EQT786540 FAP786540 FKL786540 FUH786540 GED786540 GNZ786540 GXV786540 HHR786540 HRN786540 IBJ786540 ILF786540 IVB786540 JEX786540 JOT786540 JYP786540 KIL786540 KSH786540 LCD786540 LLZ786540 LVV786540 MFR786540 MPN786540 MZJ786540 NJF786540 NTB786540 OCX786540 OMT786540 OWP786540 PGL786540 PQH786540 QAD786540 QJZ786540 QTV786540 RDR786540 RNN786540 RXJ786540 SHF786540 SRB786540 TAX786540 TKT786540 TUP786540 UEL786540 UOH786540 UYD786540 VHZ786540 VRV786540 WBR786540 WLN786540 WVJ786540 B852076 IX852076 ST852076 ACP852076 AML852076 AWH852076 BGD852076 BPZ852076 BZV852076 CJR852076 CTN852076 DDJ852076 DNF852076 DXB852076 EGX852076 EQT852076 FAP852076 FKL852076 FUH852076 GED852076 GNZ852076 GXV852076 HHR852076 HRN852076 IBJ852076 ILF852076 IVB852076 JEX852076 JOT852076 JYP852076 KIL852076 KSH852076 LCD852076 LLZ852076 LVV852076 MFR852076 MPN852076 MZJ852076 NJF852076 NTB852076 OCX852076 OMT852076 OWP852076 PGL852076 PQH852076 QAD852076 QJZ852076 QTV852076 RDR852076 RNN852076 RXJ852076 SHF852076 SRB852076 TAX852076 TKT852076 TUP852076 UEL852076 UOH852076 UYD852076 VHZ852076 VRV852076 WBR852076 WLN852076 WVJ852076 B917612 IX917612 ST917612 ACP917612 AML917612 AWH917612 BGD917612 BPZ917612 BZV917612 CJR917612 CTN917612 DDJ917612 DNF917612 DXB917612 EGX917612 EQT917612 FAP917612 FKL917612 FUH917612 GED917612 GNZ917612 GXV917612 HHR917612 HRN917612 IBJ917612 ILF917612 IVB917612 JEX917612 JOT917612 JYP917612 KIL917612 KSH917612 LCD917612 LLZ917612 LVV917612 MFR917612 MPN917612 MZJ917612 NJF917612 NTB917612 OCX917612 OMT917612 OWP917612 PGL917612 PQH917612 QAD917612 QJZ917612 QTV917612 RDR917612 RNN917612 RXJ917612 SHF917612 SRB917612 TAX917612 TKT917612 TUP917612 UEL917612 UOH917612 UYD917612 VHZ917612 VRV917612 WBR917612 WLN917612 WVJ917612 B983148 IX983148 ST983148 ACP983148 AML983148 AWH983148 BGD983148 BPZ983148 BZV983148 CJR983148 CTN983148 DDJ983148 DNF983148 DXB983148 EGX983148 EQT983148 FAP983148 FKL983148 FUH983148 GED983148 GNZ983148 GXV983148 HHR983148 HRN983148 IBJ983148 ILF983148 IVB983148 JEX983148 JOT983148 JYP983148 KIL983148 KSH983148 LCD983148 LLZ983148 LVV983148 MFR983148 MPN983148 MZJ983148 NJF983148 NTB983148 OCX983148 OMT983148 OWP983148 PGL983148 PQH983148 QAD983148 QJZ983148 QTV983148 RDR983148 RNN983148 RXJ983148 SHF983148 SRB983148 TAX983148 TKT983148 TUP983148 UEL983148 UOH983148 UYD983148 VHZ983148 VRV983148 WBR983148 WLN983148 WVJ983148" xr:uid="{00000000-0002-0000-0000-000001000000}">
      <formula1>"Bühler, Fuhr, Fenn, HVZ, Umspulanlage"</formula1>
    </dataValidation>
    <dataValidation allowBlank="1" showInputMessage="1" showErrorMessage="1" error="Keine Maschine ausgewählt" sqref="B85" xr:uid="{00000000-0002-0000-0000-000002000000}"/>
  </dataValidations>
  <pageMargins left="0.7" right="0.7" top="0.78740157499999996" bottom="0.78740157499999996" header="0.3" footer="0.3"/>
  <pageSetup paperSize="9"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
    <tabColor indexed="12"/>
  </sheetPr>
  <dimension ref="A1:P140"/>
  <sheetViews>
    <sheetView topLeftCell="A26" zoomScaleNormal="100" workbookViewId="0">
      <selection activeCell="F51" sqref="F51"/>
    </sheetView>
  </sheetViews>
  <sheetFormatPr baseColWidth="10" defaultColWidth="11.42578125" defaultRowHeight="11.25" x14ac:dyDescent="0.2"/>
  <cols>
    <col min="1" max="1" width="9.140625" style="12" customWidth="1"/>
    <col min="2" max="2" width="30.140625" style="12" customWidth="1"/>
    <col min="3" max="3" width="20.28515625" style="18" bestFit="1" customWidth="1"/>
    <col min="4" max="4" width="20.28515625" style="18" customWidth="1"/>
    <col min="5" max="5" width="16.28515625" style="18" customWidth="1"/>
    <col min="6" max="6" width="11.42578125" style="18"/>
    <col min="7" max="7" width="11.5703125" style="18" customWidth="1"/>
    <col min="8" max="10" width="13" style="18" customWidth="1"/>
    <col min="11" max="11" width="14.28515625" style="18" bestFit="1" customWidth="1"/>
    <col min="12" max="13" width="11.42578125" style="18"/>
    <col min="14" max="14" width="19.42578125" style="18" customWidth="1"/>
    <col min="15" max="15" width="15.42578125" style="18" customWidth="1"/>
    <col min="16" max="16" width="14.140625" style="18" customWidth="1"/>
    <col min="17" max="16384" width="11.42578125" style="12"/>
  </cols>
  <sheetData>
    <row r="1" spans="1:16" ht="8.25" customHeight="1" x14ac:dyDescent="0.2">
      <c r="A1" s="34"/>
      <c r="B1" s="34"/>
      <c r="C1" s="35"/>
      <c r="D1" s="35"/>
      <c r="E1" s="35"/>
      <c r="F1" s="35"/>
      <c r="G1" s="35"/>
      <c r="H1" s="35"/>
      <c r="I1" s="35"/>
      <c r="J1" s="35"/>
      <c r="K1" s="35"/>
      <c r="L1" s="35"/>
      <c r="M1" s="35"/>
      <c r="N1" s="35"/>
      <c r="O1" s="35"/>
      <c r="P1" s="35"/>
    </row>
    <row r="2" spans="1:16" x14ac:dyDescent="0.2">
      <c r="A2" s="36"/>
      <c r="B2" s="37" t="s">
        <v>13</v>
      </c>
      <c r="C2" s="38"/>
      <c r="D2" s="38"/>
      <c r="E2" s="38"/>
      <c r="F2" s="38"/>
      <c r="G2" s="38"/>
      <c r="H2" s="38"/>
      <c r="I2" s="38"/>
      <c r="J2" s="38"/>
      <c r="K2" s="38"/>
      <c r="L2" s="38"/>
      <c r="M2" s="38"/>
      <c r="N2" s="38"/>
      <c r="O2" s="38"/>
      <c r="P2" s="39"/>
    </row>
    <row r="3" spans="1:16" ht="4.5" customHeight="1" x14ac:dyDescent="0.2">
      <c r="A3" s="40"/>
      <c r="P3" s="41"/>
    </row>
    <row r="4" spans="1:16" ht="28.5" customHeight="1" x14ac:dyDescent="0.2">
      <c r="A4" s="40"/>
      <c r="B4" s="15" t="s">
        <v>0</v>
      </c>
      <c r="C4" s="42" t="s">
        <v>1</v>
      </c>
      <c r="D4" s="42" t="s">
        <v>10</v>
      </c>
      <c r="E4" s="42" t="s">
        <v>2</v>
      </c>
      <c r="F4" s="42" t="s">
        <v>3</v>
      </c>
      <c r="G4" s="42" t="s">
        <v>4</v>
      </c>
      <c r="H4" s="42" t="s">
        <v>5</v>
      </c>
      <c r="I4" s="42" t="s">
        <v>20</v>
      </c>
      <c r="J4" s="42" t="s">
        <v>21</v>
      </c>
      <c r="K4" s="42" t="s">
        <v>6</v>
      </c>
      <c r="L4" s="42" t="s">
        <v>7</v>
      </c>
      <c r="M4" s="42" t="s">
        <v>8</v>
      </c>
      <c r="N4" s="43" t="s">
        <v>22</v>
      </c>
      <c r="O4" s="42" t="s">
        <v>9</v>
      </c>
      <c r="P4" s="44" t="s">
        <v>11</v>
      </c>
    </row>
    <row r="5" spans="1:16" x14ac:dyDescent="0.2">
      <c r="A5" s="40"/>
      <c r="B5" s="12" t="s">
        <v>12</v>
      </c>
      <c r="C5" s="45">
        <f>IF(B5="Bühler",Daten_v_Kosten_Preise!C52,IF(B5="HVZ",Daten_v_Kosten_Preise!C51,IF(B5="Fuhr",Daten_v_Kosten_Preise!C52,IF(B5="Fenn",Daten_v_Kosten_Preise!C53,IF(B5="Umspulanlage",Daten_v_Kosten_Preise!C54,0)))))</f>
        <v>43.11</v>
      </c>
      <c r="D5" s="46">
        <f>IF(B5="Bühler",Daten_v_Kosten_Preise!D31,IF(B5="HVZ",Daten_v_Kosten_Preise!D32,IF(B5="Fuhr",Daten_v_Kosten_Preise!D31,IF(B5="Fenn",0.5,IF(B5="Umspulanlage",Daten_v_Kosten_Preise!D33,Daten_v_Kosten_Preise!D34)))))</f>
        <v>0.375</v>
      </c>
      <c r="E5" s="47">
        <f>IF(Geometrie!F15=0,Daten_v_Kosten_Preise!E18,Daten_v_Kosten_Preise!C22)</f>
        <v>8</v>
      </c>
      <c r="F5" s="48">
        <f>ACALC!C4</f>
        <v>1</v>
      </c>
      <c r="G5" s="48">
        <f>ACALC!C5</f>
        <v>0.2</v>
      </c>
      <c r="H5" s="49">
        <f>F5*G5</f>
        <v>0.2</v>
      </c>
      <c r="I5" s="50">
        <v>0</v>
      </c>
      <c r="J5" s="50">
        <f>H5+I5</f>
        <v>0.2</v>
      </c>
      <c r="K5" s="51">
        <f>H5*8.95/1000</f>
        <v>1.7900000000000001E-3</v>
      </c>
      <c r="L5" s="52">
        <f>1/K5</f>
        <v>558.65921787709487</v>
      </c>
      <c r="M5" s="53">
        <f>L5/E5</f>
        <v>69.832402234636859</v>
      </c>
      <c r="N5" s="54">
        <f>M5/3600</f>
        <v>1.939788950962135E-2</v>
      </c>
      <c r="O5" s="55">
        <f>N5*C5</f>
        <v>0.83624301675977641</v>
      </c>
      <c r="P5" s="56">
        <f>N5*D5*Daten_v_Kosten_Preise!C39</f>
        <v>0.25459729981378021</v>
      </c>
    </row>
    <row r="6" spans="1:16" x14ac:dyDescent="0.2">
      <c r="A6" s="40"/>
      <c r="P6" s="41"/>
    </row>
    <row r="7" spans="1:16" hidden="1" x14ac:dyDescent="0.2">
      <c r="A7" s="40"/>
      <c r="P7" s="41"/>
    </row>
    <row r="8" spans="1:16" x14ac:dyDescent="0.2">
      <c r="A8" s="40" t="s">
        <v>68</v>
      </c>
      <c r="B8" s="12" t="s">
        <v>66</v>
      </c>
      <c r="C8" s="57">
        <v>0.5</v>
      </c>
      <c r="D8" s="18" t="s">
        <v>67</v>
      </c>
      <c r="E8" s="18">
        <f>E19</f>
        <v>10</v>
      </c>
      <c r="M8" s="18" t="s">
        <v>71</v>
      </c>
      <c r="N8" s="58">
        <f>E8*C8+C9*E9</f>
        <v>5</v>
      </c>
      <c r="O8" s="59">
        <f>N8*C5</f>
        <v>215.55</v>
      </c>
      <c r="P8" s="41">
        <f>N8*Daten_v_Kosten_Preise!C39</f>
        <v>175</v>
      </c>
    </row>
    <row r="9" spans="1:16" x14ac:dyDescent="0.2">
      <c r="A9" s="40"/>
      <c r="P9" s="41"/>
    </row>
    <row r="10" spans="1:16" x14ac:dyDescent="0.2">
      <c r="A10" s="60"/>
      <c r="B10" s="61"/>
      <c r="C10" s="62"/>
      <c r="D10" s="62"/>
      <c r="E10" s="62"/>
      <c r="F10" s="62"/>
      <c r="G10" s="62"/>
      <c r="H10" s="62"/>
      <c r="I10" s="62"/>
      <c r="J10" s="62"/>
      <c r="K10" s="62"/>
      <c r="L10" s="62"/>
      <c r="M10" s="62"/>
      <c r="N10" s="62"/>
      <c r="O10" s="62"/>
      <c r="P10" s="63"/>
    </row>
    <row r="11" spans="1:16" ht="8.25" customHeight="1" x14ac:dyDescent="0.2">
      <c r="A11" s="34"/>
      <c r="B11" s="34"/>
      <c r="C11" s="35"/>
      <c r="D11" s="35"/>
      <c r="E11" s="35"/>
      <c r="F11" s="35"/>
      <c r="G11" s="35"/>
      <c r="H11" s="35"/>
      <c r="I11" s="35"/>
      <c r="J11" s="35"/>
      <c r="K11" s="35"/>
      <c r="L11" s="35"/>
      <c r="M11" s="35"/>
      <c r="N11" s="35"/>
      <c r="O11" s="35"/>
      <c r="P11" s="35"/>
    </row>
    <row r="12" spans="1:16" hidden="1" x14ac:dyDescent="0.2"/>
    <row r="13" spans="1:16" hidden="1" x14ac:dyDescent="0.2"/>
    <row r="14" spans="1:16" x14ac:dyDescent="0.2">
      <c r="A14" s="36"/>
      <c r="B14" s="37" t="s">
        <v>14</v>
      </c>
      <c r="C14" s="38"/>
      <c r="D14" s="38"/>
      <c r="E14" s="38"/>
      <c r="F14" s="38"/>
      <c r="G14" s="38"/>
      <c r="H14" s="38"/>
      <c r="I14" s="38"/>
      <c r="J14" s="38"/>
      <c r="K14" s="38"/>
      <c r="L14" s="38"/>
      <c r="M14" s="38"/>
      <c r="N14" s="38"/>
      <c r="O14" s="38"/>
      <c r="P14" s="39"/>
    </row>
    <row r="15" spans="1:16" ht="4.5" customHeight="1" x14ac:dyDescent="0.2">
      <c r="A15" s="40"/>
      <c r="P15" s="41"/>
    </row>
    <row r="16" spans="1:16" ht="28.5" customHeight="1" x14ac:dyDescent="0.2">
      <c r="A16" s="40"/>
      <c r="B16" s="15" t="s">
        <v>0</v>
      </c>
      <c r="C16" s="42" t="s">
        <v>1</v>
      </c>
      <c r="D16" s="42" t="s">
        <v>10</v>
      </c>
      <c r="E16" s="42" t="s">
        <v>2</v>
      </c>
      <c r="F16" s="42" t="s">
        <v>3</v>
      </c>
      <c r="G16" s="42" t="s">
        <v>4</v>
      </c>
      <c r="H16" s="42" t="s">
        <v>5</v>
      </c>
      <c r="I16" s="42" t="s">
        <v>20</v>
      </c>
      <c r="J16" s="42" t="s">
        <v>21</v>
      </c>
      <c r="K16" s="42" t="s">
        <v>6</v>
      </c>
      <c r="L16" s="42" t="s">
        <v>7</v>
      </c>
      <c r="M16" s="42" t="s">
        <v>8</v>
      </c>
      <c r="N16" s="43" t="s">
        <v>22</v>
      </c>
      <c r="O16" s="42" t="s">
        <v>9</v>
      </c>
      <c r="P16" s="44" t="s">
        <v>11</v>
      </c>
    </row>
    <row r="17" spans="1:16" x14ac:dyDescent="0.2">
      <c r="A17" s="40"/>
      <c r="B17" s="12" t="s">
        <v>15</v>
      </c>
      <c r="C17" s="45">
        <f>IF(B17="Bühler",Daten_v_Kosten_Preise!C52,IF(B17="HVZ",Daten_v_Kosten_Preise!C51,IF(B17="Fuhr",Daten_v_Kosten_Preise!C52,IF(B17="Fenn",Daten_v_Kosten_Preise!C53,IF(B17="Umspulanlage",Daten_v_Kosten_Preise!C54,0)))))</f>
        <v>14.45</v>
      </c>
      <c r="D17" s="46">
        <f>IF(B17="Bühler",Daten_v_Kosten_Preise!D31,IF(B17="HVZ",Daten_v_Kosten_Preise!D32,IF(B17="Fuhr",Daten_v_Kosten_Preise!D31,IF(B17="Fenn",0.5,IF(B17="Umspulanlage",Daten_v_Kosten_Preise!D33,Daten_v_Kosten_Preise!D34)))))</f>
        <v>0.5</v>
      </c>
      <c r="E17" s="47">
        <f>IF(F17&gt;4,IF(H17&gt;2,0.8,IF(H17&gt;1.5,1,1.2)),Daten_v_Kosten_Preise!C14)</f>
        <v>3.4599999999999995</v>
      </c>
      <c r="F17" s="48">
        <f>ACALC!C4</f>
        <v>1</v>
      </c>
      <c r="G17" s="48">
        <f>ACALC!C5</f>
        <v>0.2</v>
      </c>
      <c r="H17" s="49">
        <f>F17*G17</f>
        <v>0.2</v>
      </c>
      <c r="I17" s="64">
        <f>2*Geometrie!E6</f>
        <v>2.6675198050562818E-2</v>
      </c>
      <c r="J17" s="49">
        <f>H17+I17</f>
        <v>0.22667519805056283</v>
      </c>
      <c r="K17" s="51">
        <f>(H17*8.95/1000)+(I17*Legierungen!C35/1000)</f>
        <v>2.0284762705720318E-3</v>
      </c>
      <c r="L17" s="52">
        <f>1/K17</f>
        <v>492.98087165594461</v>
      </c>
      <c r="M17" s="53">
        <f>L17/E17</f>
        <v>142.48002070981059</v>
      </c>
      <c r="N17" s="54">
        <f>M17/3600</f>
        <v>3.9577783530502939E-2</v>
      </c>
      <c r="O17" s="55">
        <f>IF(ACALC!C12="Blank",0,N17*C17)</f>
        <v>0.57189897201576745</v>
      </c>
      <c r="P17" s="56">
        <f>IF(ACALC!C12="blank",0,N17*D17*Daten_v_Kosten_Preise!C39)</f>
        <v>0.69261121178380147</v>
      </c>
    </row>
    <row r="18" spans="1:16" x14ac:dyDescent="0.2">
      <c r="A18" s="40"/>
      <c r="P18" s="41"/>
    </row>
    <row r="19" spans="1:16" x14ac:dyDescent="0.2">
      <c r="A19" s="40" t="s">
        <v>68</v>
      </c>
      <c r="B19" s="12" t="s">
        <v>66</v>
      </c>
      <c r="C19" s="57">
        <v>0.33</v>
      </c>
      <c r="D19" s="18" t="s">
        <v>67</v>
      </c>
      <c r="E19" s="18">
        <f>ROUNDUP(ACALC!C8/500, 0)</f>
        <v>10</v>
      </c>
      <c r="M19" s="18" t="s">
        <v>72</v>
      </c>
      <c r="N19" s="58">
        <f>IF(ACALC!C12="Blank",0,E19*C19+C20*E20)</f>
        <v>3.83</v>
      </c>
      <c r="O19" s="59">
        <f>N19*C17</f>
        <v>55.343499999999999</v>
      </c>
      <c r="P19" s="41">
        <f>N19*Daten_v_Kosten_Preise!C39</f>
        <v>134.05000000000001</v>
      </c>
    </row>
    <row r="20" spans="1:16" x14ac:dyDescent="0.2">
      <c r="A20" s="40"/>
      <c r="B20" s="12" t="s">
        <v>69</v>
      </c>
      <c r="C20" s="57">
        <v>0.53</v>
      </c>
      <c r="D20" s="18" t="s">
        <v>70</v>
      </c>
      <c r="E20" s="18">
        <v>1</v>
      </c>
      <c r="P20" s="41"/>
    </row>
    <row r="21" spans="1:16" x14ac:dyDescent="0.2">
      <c r="A21" s="40"/>
      <c r="P21" s="41"/>
    </row>
    <row r="22" spans="1:16" x14ac:dyDescent="0.2">
      <c r="A22" s="60"/>
      <c r="B22" s="61"/>
      <c r="C22" s="62"/>
      <c r="D22" s="62"/>
      <c r="E22" s="62"/>
      <c r="F22" s="62"/>
      <c r="G22" s="62"/>
      <c r="H22" s="62"/>
      <c r="I22" s="62"/>
      <c r="J22" s="62"/>
      <c r="K22" s="62"/>
      <c r="L22" s="62"/>
      <c r="M22" s="62" t="s">
        <v>73</v>
      </c>
      <c r="N22" s="65">
        <f>N8+N19</f>
        <v>8.83</v>
      </c>
      <c r="O22" s="66">
        <f>O8+O19</f>
        <v>270.89350000000002</v>
      </c>
      <c r="P22" s="63">
        <f>P8+P19</f>
        <v>309.05</v>
      </c>
    </row>
    <row r="23" spans="1:16" ht="8.25" customHeight="1" x14ac:dyDescent="0.2">
      <c r="A23" s="34"/>
      <c r="B23" s="34"/>
      <c r="C23" s="35"/>
      <c r="D23" s="35"/>
      <c r="E23" s="35"/>
      <c r="F23" s="35"/>
      <c r="G23" s="35"/>
      <c r="H23" s="35"/>
      <c r="I23" s="35"/>
      <c r="J23" s="35"/>
      <c r="K23" s="35"/>
      <c r="L23" s="35"/>
      <c r="M23" s="35"/>
      <c r="N23" s="35"/>
      <c r="O23" s="35"/>
      <c r="P23" s="35"/>
    </row>
    <row r="24" spans="1:16" x14ac:dyDescent="0.2">
      <c r="A24" s="36"/>
      <c r="B24" s="37" t="s">
        <v>138</v>
      </c>
      <c r="C24" s="38"/>
      <c r="D24" s="38"/>
      <c r="E24" s="38"/>
      <c r="F24" s="38"/>
      <c r="G24" s="38"/>
      <c r="H24" s="38"/>
      <c r="I24" s="38"/>
      <c r="J24" s="38"/>
      <c r="K24" s="38"/>
      <c r="L24" s="38"/>
      <c r="M24" s="38"/>
      <c r="N24" s="38"/>
      <c r="O24" s="38"/>
      <c r="P24" s="39"/>
    </row>
    <row r="25" spans="1:16" ht="4.5" customHeight="1" x14ac:dyDescent="0.2">
      <c r="A25" s="40"/>
      <c r="P25" s="41"/>
    </row>
    <row r="26" spans="1:16" s="15" customFormat="1" ht="39" customHeight="1" x14ac:dyDescent="0.2">
      <c r="A26" s="67"/>
      <c r="B26" s="15" t="s">
        <v>209</v>
      </c>
      <c r="C26" s="42" t="s">
        <v>139</v>
      </c>
      <c r="D26" s="42" t="s">
        <v>10</v>
      </c>
      <c r="E26" s="42" t="s">
        <v>216</v>
      </c>
      <c r="F26" s="42" t="s">
        <v>221</v>
      </c>
      <c r="G26" s="42" t="s">
        <v>222</v>
      </c>
      <c r="H26" s="42"/>
      <c r="I26" s="42"/>
      <c r="J26" s="42"/>
      <c r="K26" s="42"/>
      <c r="L26" s="42"/>
      <c r="M26" s="42"/>
      <c r="N26" s="42"/>
      <c r="O26" s="42" t="s">
        <v>223</v>
      </c>
      <c r="P26" s="44" t="s">
        <v>224</v>
      </c>
    </row>
    <row r="27" spans="1:16" x14ac:dyDescent="0.2">
      <c r="A27" s="40"/>
      <c r="B27" s="12" t="str">
        <f>Verpackung!R5</f>
        <v>84er</v>
      </c>
      <c r="C27" s="18">
        <f>Verpackung!Y5</f>
        <v>8</v>
      </c>
      <c r="D27" s="18">
        <v>1</v>
      </c>
      <c r="E27" s="68">
        <f>Verpackung!X5</f>
        <v>672</v>
      </c>
      <c r="F27" s="21">
        <f>Verpackung!Z5</f>
        <v>244.32</v>
      </c>
      <c r="G27" s="58">
        <f>C27*Verpackung!T12</f>
        <v>1.28</v>
      </c>
      <c r="N27" s="58"/>
      <c r="O27" s="69">
        <f>Verpackung!Z5</f>
        <v>244.32</v>
      </c>
      <c r="P27" s="70">
        <f>G27*Daten_v_Kosten_Preise!C39</f>
        <v>44.800000000000004</v>
      </c>
    </row>
    <row r="28" spans="1:16" x14ac:dyDescent="0.2">
      <c r="A28" s="40"/>
      <c r="P28" s="41"/>
    </row>
    <row r="29" spans="1:16" x14ac:dyDescent="0.2">
      <c r="A29" s="60"/>
      <c r="B29" s="61"/>
      <c r="C29" s="62"/>
      <c r="D29" s="62"/>
      <c r="E29" s="62"/>
      <c r="F29" s="62"/>
      <c r="G29" s="62"/>
      <c r="H29" s="62"/>
      <c r="I29" s="62"/>
      <c r="J29" s="62"/>
      <c r="K29" s="62"/>
      <c r="L29" s="62"/>
      <c r="M29" s="62"/>
      <c r="N29" s="62"/>
      <c r="O29" s="62"/>
      <c r="P29" s="63"/>
    </row>
    <row r="30" spans="1:16" ht="8.25" customHeight="1" x14ac:dyDescent="0.2">
      <c r="A30" s="34"/>
      <c r="B30" s="34"/>
      <c r="C30" s="35"/>
      <c r="D30" s="35"/>
      <c r="E30" s="35"/>
      <c r="F30" s="35"/>
      <c r="G30" s="35"/>
      <c r="H30" s="35"/>
      <c r="I30" s="35"/>
      <c r="J30" s="35"/>
      <c r="K30" s="35"/>
      <c r="L30" s="35"/>
      <c r="M30" s="35"/>
      <c r="N30" s="35"/>
      <c r="O30" s="35"/>
      <c r="P30" s="35"/>
    </row>
    <row r="31" spans="1:16" x14ac:dyDescent="0.2">
      <c r="A31" s="36"/>
      <c r="B31" s="37" t="s">
        <v>148</v>
      </c>
      <c r="C31" s="38"/>
      <c r="D31" s="38"/>
      <c r="E31" s="38"/>
      <c r="F31" s="38"/>
      <c r="G31" s="38"/>
      <c r="H31" s="38"/>
      <c r="I31" s="38"/>
      <c r="J31" s="38"/>
      <c r="K31" s="38"/>
      <c r="L31" s="38"/>
      <c r="M31" s="38"/>
      <c r="N31" s="38"/>
      <c r="O31" s="38"/>
      <c r="P31" s="39"/>
    </row>
    <row r="32" spans="1:16" ht="4.5" customHeight="1" x14ac:dyDescent="0.2">
      <c r="A32" s="40"/>
      <c r="P32" s="41"/>
    </row>
    <row r="33" spans="1:16" s="15" customFormat="1" ht="49.5" customHeight="1" x14ac:dyDescent="0.2">
      <c r="A33" s="67" t="s">
        <v>225</v>
      </c>
      <c r="B33" s="42" t="s">
        <v>214</v>
      </c>
      <c r="C33" s="42" t="s">
        <v>159</v>
      </c>
      <c r="D33" s="42" t="s">
        <v>160</v>
      </c>
      <c r="E33" s="42"/>
      <c r="F33" s="42"/>
      <c r="G33" s="42"/>
      <c r="H33" s="42" t="s">
        <v>215</v>
      </c>
      <c r="I33" s="42"/>
      <c r="J33" s="42"/>
      <c r="K33" s="42"/>
      <c r="L33" s="42"/>
      <c r="M33" s="42"/>
      <c r="N33" s="42"/>
      <c r="O33" s="42" t="s">
        <v>226</v>
      </c>
      <c r="P33" s="44"/>
    </row>
    <row r="34" spans="1:16" ht="19.5" customHeight="1" x14ac:dyDescent="0.2">
      <c r="A34" s="12" t="str">
        <f>Verpackung!M5</f>
        <v>Spule_HKV160_bikonisch</v>
      </c>
      <c r="B34" s="71">
        <f>Verpackung!N5</f>
        <v>1.8716900000000001</v>
      </c>
      <c r="C34" s="72">
        <f>Verpackung!O5</f>
        <v>8</v>
      </c>
      <c r="D34" s="18" t="str">
        <f>Verpackung!Q5</f>
        <v>Ja</v>
      </c>
      <c r="G34" s="21"/>
      <c r="H34" s="18">
        <f>Verpackung!W5</f>
        <v>84</v>
      </c>
      <c r="K34" s="21"/>
      <c r="N34" s="21"/>
      <c r="O34" s="21">
        <f>Verpackung!AA5</f>
        <v>877.35468750000007</v>
      </c>
      <c r="P34" s="41"/>
    </row>
    <row r="35" spans="1:16" x14ac:dyDescent="0.2">
      <c r="A35" s="60"/>
      <c r="B35" s="61"/>
      <c r="C35" s="62"/>
      <c r="D35" s="62"/>
      <c r="E35" s="62"/>
      <c r="F35" s="62"/>
      <c r="G35" s="62"/>
      <c r="H35" s="62"/>
      <c r="I35" s="62"/>
      <c r="J35" s="62"/>
      <c r="K35" s="62"/>
      <c r="L35" s="62"/>
      <c r="M35" s="62"/>
      <c r="N35" s="62"/>
      <c r="O35" s="62"/>
      <c r="P35" s="63"/>
    </row>
    <row r="36" spans="1:16" ht="8.25" customHeight="1" x14ac:dyDescent="0.2">
      <c r="A36" s="34"/>
      <c r="B36" s="34"/>
      <c r="C36" s="35"/>
      <c r="D36" s="35"/>
      <c r="E36" s="35"/>
      <c r="F36" s="35"/>
      <c r="G36" s="35"/>
      <c r="H36" s="35"/>
      <c r="I36" s="35"/>
      <c r="J36" s="35"/>
      <c r="K36" s="35"/>
      <c r="L36" s="35"/>
      <c r="M36" s="35"/>
      <c r="N36" s="35"/>
      <c r="O36" s="35"/>
      <c r="P36" s="35"/>
    </row>
    <row r="48" spans="1:16" x14ac:dyDescent="0.2">
      <c r="B48" s="22" t="s">
        <v>228</v>
      </c>
    </row>
    <row r="49" spans="2:9" ht="27" customHeight="1" x14ac:dyDescent="0.2">
      <c r="B49" s="73"/>
      <c r="C49" s="74" t="s">
        <v>231</v>
      </c>
      <c r="D49" s="74" t="s">
        <v>233</v>
      </c>
      <c r="E49" s="74" t="s">
        <v>234</v>
      </c>
      <c r="F49" s="74" t="s">
        <v>235</v>
      </c>
      <c r="G49" s="74"/>
      <c r="H49" s="74" t="s">
        <v>227</v>
      </c>
      <c r="I49" s="42"/>
    </row>
    <row r="50" spans="2:9" x14ac:dyDescent="0.2">
      <c r="E50" s="75"/>
      <c r="F50" s="75"/>
      <c r="G50" s="75"/>
      <c r="H50" s="75"/>
    </row>
    <row r="51" spans="2:9" x14ac:dyDescent="0.2">
      <c r="B51" s="12" t="s">
        <v>229</v>
      </c>
      <c r="C51" s="76">
        <f>N5</f>
        <v>1.939788950962135E-2</v>
      </c>
      <c r="E51" s="75">
        <f>O5</f>
        <v>0.83624301675977641</v>
      </c>
      <c r="F51" s="75">
        <f>P5</f>
        <v>0.25459729981378021</v>
      </c>
      <c r="G51" s="75"/>
      <c r="H51" s="75"/>
    </row>
    <row r="52" spans="2:9" x14ac:dyDescent="0.2">
      <c r="B52" s="12" t="s">
        <v>230</v>
      </c>
      <c r="C52" s="76">
        <f>N8/ACALC!C8</f>
        <v>1E-3</v>
      </c>
      <c r="E52" s="75">
        <f>O8/ACALC!C8</f>
        <v>4.3110000000000002E-2</v>
      </c>
      <c r="F52" s="75">
        <f>P8/ACALC!C8</f>
        <v>3.5000000000000003E-2</v>
      </c>
      <c r="G52" s="75"/>
      <c r="H52" s="75"/>
    </row>
    <row r="53" spans="2:9" x14ac:dyDescent="0.2">
      <c r="E53" s="75"/>
      <c r="F53" s="75"/>
      <c r="G53" s="75"/>
      <c r="H53" s="75"/>
    </row>
    <row r="54" spans="2:9" x14ac:dyDescent="0.2">
      <c r="B54" s="22" t="s">
        <v>232</v>
      </c>
      <c r="C54" s="76">
        <f>SUM(C51:C53)</f>
        <v>2.0397889509621351E-2</v>
      </c>
      <c r="E54" s="75">
        <f>SUM(E51:E53)</f>
        <v>0.8793530167597764</v>
      </c>
      <c r="F54" s="75">
        <f>SUM(F51:F53)</f>
        <v>0.28959729981378024</v>
      </c>
      <c r="G54" s="75"/>
      <c r="H54" s="77">
        <f>SUM(D54:F54)</f>
        <v>1.1689503165735566</v>
      </c>
    </row>
    <row r="55" spans="2:9" ht="6" customHeight="1" x14ac:dyDescent="0.2">
      <c r="B55" s="78"/>
      <c r="C55" s="79"/>
      <c r="D55" s="79"/>
      <c r="E55" s="79"/>
      <c r="F55" s="79"/>
      <c r="G55" s="79"/>
      <c r="H55" s="79"/>
    </row>
    <row r="56" spans="2:9" x14ac:dyDescent="0.2">
      <c r="E56" s="75"/>
      <c r="F56" s="75"/>
    </row>
    <row r="57" spans="2:9" x14ac:dyDescent="0.2">
      <c r="B57" s="12" t="s">
        <v>236</v>
      </c>
      <c r="C57" s="76">
        <f>N17</f>
        <v>3.9577783530502939E-2</v>
      </c>
      <c r="E57" s="75">
        <f>O17</f>
        <v>0.57189897201576745</v>
      </c>
      <c r="F57" s="75">
        <f>P17</f>
        <v>0.69261121178380147</v>
      </c>
    </row>
    <row r="58" spans="2:9" x14ac:dyDescent="0.2">
      <c r="B58" s="12" t="s">
        <v>237</v>
      </c>
      <c r="C58" s="76">
        <f>N19/ACALC!C8</f>
        <v>7.6599999999999997E-4</v>
      </c>
      <c r="E58" s="75">
        <f>O19/ACALC!C8</f>
        <v>1.1068699999999999E-2</v>
      </c>
      <c r="F58" s="75">
        <f>P19/ACALC!C8</f>
        <v>2.6810000000000004E-2</v>
      </c>
    </row>
    <row r="59" spans="2:9" x14ac:dyDescent="0.2">
      <c r="E59" s="75"/>
      <c r="F59" s="75"/>
    </row>
    <row r="60" spans="2:9" x14ac:dyDescent="0.2">
      <c r="B60" s="22" t="s">
        <v>238</v>
      </c>
      <c r="C60" s="76">
        <f>SUM(C57:C59)</f>
        <v>4.0343783530502941E-2</v>
      </c>
      <c r="E60" s="75">
        <f>SUM(E57:E59)</f>
        <v>0.58296767201576749</v>
      </c>
      <c r="F60" s="75">
        <f>SUM(F57:F59)</f>
        <v>0.71942121178380147</v>
      </c>
      <c r="H60" s="77">
        <f>SUM(D60:G60)</f>
        <v>1.302388883799569</v>
      </c>
    </row>
    <row r="61" spans="2:9" ht="6" customHeight="1" x14ac:dyDescent="0.2">
      <c r="B61" s="78"/>
      <c r="C61" s="79"/>
      <c r="D61" s="79"/>
      <c r="E61" s="79"/>
      <c r="F61" s="79"/>
      <c r="G61" s="79"/>
      <c r="H61" s="79"/>
    </row>
    <row r="62" spans="2:9" x14ac:dyDescent="0.2">
      <c r="B62" s="22" t="s">
        <v>161</v>
      </c>
      <c r="C62" s="76">
        <f>G27/ACALC!C8</f>
        <v>2.5599999999999999E-4</v>
      </c>
      <c r="D62" s="75">
        <f>O27/ACALC!C8</f>
        <v>4.8863999999999998E-2</v>
      </c>
      <c r="F62" s="75">
        <f>P27/ACALC!C8</f>
        <v>8.9600000000000009E-3</v>
      </c>
      <c r="H62" s="77">
        <f>SUM(D62:F62)</f>
        <v>5.7824E-2</v>
      </c>
    </row>
    <row r="63" spans="2:9" x14ac:dyDescent="0.2">
      <c r="B63" s="12" t="s">
        <v>265</v>
      </c>
      <c r="D63" s="75">
        <f>ACALC!H25</f>
        <v>0</v>
      </c>
      <c r="H63" s="77">
        <f>D63</f>
        <v>0</v>
      </c>
    </row>
    <row r="64" spans="2:9" x14ac:dyDescent="0.2">
      <c r="B64" s="22" t="s">
        <v>208</v>
      </c>
      <c r="D64" s="75">
        <f>O34/ACALC!C8</f>
        <v>0.17547093750000001</v>
      </c>
      <c r="H64" s="77">
        <f>SUM(D64:G64)</f>
        <v>0.17547093750000001</v>
      </c>
    </row>
    <row r="65" spans="2:8" ht="6" customHeight="1" x14ac:dyDescent="0.2">
      <c r="B65" s="78"/>
      <c r="C65" s="79"/>
      <c r="D65" s="79"/>
      <c r="E65" s="79"/>
      <c r="F65" s="79"/>
      <c r="G65" s="79"/>
      <c r="H65" s="79"/>
    </row>
    <row r="66" spans="2:8" x14ac:dyDescent="0.2">
      <c r="H66" s="77"/>
    </row>
    <row r="67" spans="2:8" x14ac:dyDescent="0.2">
      <c r="B67" s="12" t="s">
        <v>241</v>
      </c>
      <c r="H67" s="77">
        <f>H54+H60</f>
        <v>2.4713392003731256</v>
      </c>
    </row>
    <row r="68" spans="2:8" x14ac:dyDescent="0.2">
      <c r="B68" s="12" t="s">
        <v>242</v>
      </c>
      <c r="H68" s="77">
        <f>H54+H60+H64</f>
        <v>2.6468101378731257</v>
      </c>
    </row>
    <row r="69" spans="2:8" x14ac:dyDescent="0.2">
      <c r="H69" s="77"/>
    </row>
    <row r="70" spans="2:8" x14ac:dyDescent="0.2">
      <c r="B70" s="22" t="s">
        <v>243</v>
      </c>
      <c r="C70" s="80">
        <f>C54+C60+C62</f>
        <v>6.0997673040124288E-2</v>
      </c>
      <c r="D70" s="18">
        <f>SUM(D51:D64)</f>
        <v>0.2243349375</v>
      </c>
      <c r="E70" s="75">
        <f>E54+E60</f>
        <v>1.4623206887755438</v>
      </c>
      <c r="F70" s="75">
        <f>F54+F60+F62</f>
        <v>1.0179785115975819</v>
      </c>
      <c r="H70" s="77">
        <f>H54+H60+H62+H64+H63</f>
        <v>2.7046341378731258</v>
      </c>
    </row>
    <row r="71" spans="2:8" ht="6" customHeight="1" x14ac:dyDescent="0.2">
      <c r="B71" s="81"/>
      <c r="C71" s="82"/>
      <c r="D71" s="82"/>
      <c r="E71" s="82"/>
      <c r="F71" s="82"/>
      <c r="G71" s="82"/>
      <c r="H71" s="82"/>
    </row>
    <row r="72" spans="2:8" x14ac:dyDescent="0.2">
      <c r="H72" s="83"/>
    </row>
    <row r="73" spans="2:8" x14ac:dyDescent="0.2">
      <c r="B73" s="22" t="s">
        <v>239</v>
      </c>
      <c r="H73" s="77">
        <f>Metall!D37</f>
        <v>11.546969580318352</v>
      </c>
    </row>
    <row r="74" spans="2:8" ht="6" customHeight="1" x14ac:dyDescent="0.2">
      <c r="B74" s="81"/>
      <c r="C74" s="82"/>
      <c r="D74" s="82"/>
      <c r="E74" s="82"/>
      <c r="F74" s="82"/>
      <c r="G74" s="82"/>
      <c r="H74" s="82"/>
    </row>
    <row r="75" spans="2:8" x14ac:dyDescent="0.2">
      <c r="H75" s="83"/>
    </row>
    <row r="76" spans="2:8" x14ac:dyDescent="0.2">
      <c r="B76" s="12" t="s">
        <v>244</v>
      </c>
      <c r="F76" s="75">
        <f>C70*Daten_v_Kosten_Preise!C40</f>
        <v>0.7081829839958429</v>
      </c>
      <c r="H76" s="77">
        <f>F76</f>
        <v>0.7081829839958429</v>
      </c>
    </row>
    <row r="77" spans="2:8" ht="6" customHeight="1" x14ac:dyDescent="0.2">
      <c r="B77" s="81"/>
      <c r="C77" s="82"/>
      <c r="D77" s="82"/>
      <c r="E77" s="82"/>
      <c r="F77" s="82"/>
      <c r="G77" s="82"/>
      <c r="H77" s="82"/>
    </row>
    <row r="78" spans="2:8" x14ac:dyDescent="0.2">
      <c r="B78" s="22" t="s">
        <v>240</v>
      </c>
      <c r="H78" s="84">
        <f>H70+H73+H76</f>
        <v>14.959786702187323</v>
      </c>
    </row>
    <row r="79" spans="2:8" ht="6" customHeight="1" x14ac:dyDescent="0.2">
      <c r="B79" s="81"/>
      <c r="C79" s="82"/>
      <c r="D79" s="82"/>
      <c r="E79" s="82"/>
      <c r="F79" s="82"/>
      <c r="G79" s="82"/>
      <c r="H79" s="82"/>
    </row>
    <row r="80" spans="2:8" x14ac:dyDescent="0.2">
      <c r="H80" s="83"/>
    </row>
    <row r="81" spans="2:16" x14ac:dyDescent="0.2">
      <c r="B81" s="12" t="s">
        <v>248</v>
      </c>
      <c r="H81" s="77">
        <f>C70*Daten_v_Kosten_Preise!C42</f>
        <v>5.0018091892901913E-2</v>
      </c>
    </row>
    <row r="82" spans="2:16" x14ac:dyDescent="0.2">
      <c r="B82" s="12" t="s">
        <v>245</v>
      </c>
      <c r="C82" s="19">
        <f>ACALC!C8*ACALC!C10*ACALC!C28</f>
        <v>506.25</v>
      </c>
      <c r="H82" s="77">
        <f>C82/ACALC!C8</f>
        <v>0.10125000000000001</v>
      </c>
    </row>
    <row r="83" spans="2:16" x14ac:dyDescent="0.2">
      <c r="H83" s="77"/>
    </row>
    <row r="84" spans="2:16" x14ac:dyDescent="0.2">
      <c r="B84" s="12" t="s">
        <v>249</v>
      </c>
      <c r="C84" s="19">
        <f>ACALC!C8*Arbeitsplan!C70*Daten_v_Kosten_Preise!C43</f>
        <v>1509.6924077430763</v>
      </c>
      <c r="H84" s="77">
        <f>C70*Daten_v_Kosten_Preise!C43</f>
        <v>0.30193848154861525</v>
      </c>
    </row>
    <row r="85" spans="2:16" x14ac:dyDescent="0.2">
      <c r="B85" s="12" t="s">
        <v>252</v>
      </c>
      <c r="C85" s="19">
        <f>Daten_v_Kosten_Preise!C45</f>
        <v>240.66</v>
      </c>
      <c r="H85" s="77">
        <f>C85/ACALC!C8</f>
        <v>4.8132000000000001E-2</v>
      </c>
    </row>
    <row r="86" spans="2:16" x14ac:dyDescent="0.2">
      <c r="H86" s="77"/>
    </row>
    <row r="87" spans="2:16" x14ac:dyDescent="0.2">
      <c r="B87" s="12" t="s">
        <v>255</v>
      </c>
      <c r="H87" s="77">
        <f>C70*Daten_v_Kosten_Preise!C47</f>
        <v>0.58923752156760067</v>
      </c>
    </row>
    <row r="88" spans="2:16" x14ac:dyDescent="0.2">
      <c r="H88" s="77"/>
    </row>
    <row r="89" spans="2:16" x14ac:dyDescent="0.2">
      <c r="B89" s="12" t="s">
        <v>256</v>
      </c>
      <c r="H89" s="77">
        <f>H81+H82+H84+H85+H87</f>
        <v>1.0905760950091179</v>
      </c>
    </row>
    <row r="90" spans="2:16" ht="6" customHeight="1" x14ac:dyDescent="0.2">
      <c r="B90" s="81"/>
      <c r="C90" s="82"/>
      <c r="D90" s="82"/>
      <c r="E90" s="82"/>
      <c r="F90" s="82"/>
      <c r="G90" s="82"/>
      <c r="H90" s="82"/>
    </row>
    <row r="91" spans="2:16" x14ac:dyDescent="0.2">
      <c r="B91" s="22" t="s">
        <v>259</v>
      </c>
      <c r="H91" s="84">
        <f>H78+H89</f>
        <v>16.050362797196442</v>
      </c>
    </row>
    <row r="92" spans="2:16" ht="6" customHeight="1" x14ac:dyDescent="0.2">
      <c r="B92" s="81"/>
      <c r="C92" s="82"/>
      <c r="D92" s="82"/>
      <c r="E92" s="82"/>
      <c r="F92" s="82"/>
      <c r="G92" s="82"/>
      <c r="H92" s="82"/>
    </row>
    <row r="93" spans="2:16" x14ac:dyDescent="0.2">
      <c r="M93" s="76"/>
      <c r="N93" s="55"/>
      <c r="O93" s="55"/>
      <c r="P93" s="84"/>
    </row>
    <row r="94" spans="2:16" x14ac:dyDescent="0.2">
      <c r="B94" s="12" t="s">
        <v>257</v>
      </c>
      <c r="H94" s="77">
        <f>ACALC!H23</f>
        <v>0.3</v>
      </c>
      <c r="M94" s="76"/>
      <c r="N94" s="55"/>
      <c r="O94" s="55"/>
      <c r="P94" s="55"/>
    </row>
    <row r="95" spans="2:16" x14ac:dyDescent="0.2">
      <c r="B95" s="12" t="s">
        <v>258</v>
      </c>
      <c r="H95" s="77">
        <f>ACALC!H24</f>
        <v>0</v>
      </c>
      <c r="M95" s="76"/>
      <c r="N95" s="55"/>
      <c r="O95" s="85"/>
      <c r="P95" s="55"/>
    </row>
    <row r="96" spans="2:16" x14ac:dyDescent="0.2">
      <c r="H96" s="77"/>
      <c r="M96" s="76"/>
      <c r="N96" s="55"/>
      <c r="O96" s="55"/>
      <c r="P96" s="55"/>
    </row>
    <row r="97" spans="2:13" ht="6" customHeight="1" x14ac:dyDescent="0.2">
      <c r="B97" s="81"/>
      <c r="C97" s="82"/>
      <c r="D97" s="82"/>
      <c r="E97" s="82"/>
      <c r="F97" s="82"/>
      <c r="G97" s="82"/>
      <c r="H97" s="82"/>
    </row>
    <row r="98" spans="2:13" x14ac:dyDescent="0.2">
      <c r="B98" s="22" t="s">
        <v>260</v>
      </c>
      <c r="H98" s="84">
        <f>H91+H94+H95+H96</f>
        <v>16.350362797196443</v>
      </c>
    </row>
    <row r="99" spans="2:13" ht="6" customHeight="1" x14ac:dyDescent="0.2">
      <c r="B99" s="81"/>
      <c r="C99" s="82"/>
      <c r="D99" s="82"/>
      <c r="E99" s="82"/>
      <c r="F99" s="82"/>
      <c r="G99" s="82"/>
      <c r="H99" s="82"/>
    </row>
    <row r="100" spans="2:13" x14ac:dyDescent="0.2">
      <c r="M100" s="86"/>
    </row>
    <row r="101" spans="2:13" ht="6" customHeight="1" x14ac:dyDescent="0.2">
      <c r="B101" s="87"/>
      <c r="C101" s="88"/>
      <c r="D101" s="88"/>
      <c r="E101" s="88"/>
      <c r="F101" s="88"/>
      <c r="G101" s="88"/>
      <c r="H101" s="88"/>
    </row>
    <row r="102" spans="2:13" x14ac:dyDescent="0.2">
      <c r="B102" s="12" t="s">
        <v>264</v>
      </c>
      <c r="H102" s="55">
        <f>ACALC!C10-H94-H95</f>
        <v>4.2</v>
      </c>
    </row>
    <row r="103" spans="2:13" x14ac:dyDescent="0.2">
      <c r="B103" s="12" t="s">
        <v>266</v>
      </c>
      <c r="H103" s="55">
        <f>H94+H95</f>
        <v>0.3</v>
      </c>
    </row>
    <row r="104" spans="2:13" x14ac:dyDescent="0.2">
      <c r="B104" s="12" t="s">
        <v>261</v>
      </c>
      <c r="H104" s="55">
        <f>Metall!D32</f>
        <v>12.118893843755721</v>
      </c>
    </row>
    <row r="105" spans="2:13" x14ac:dyDescent="0.2">
      <c r="M105" s="86"/>
    </row>
    <row r="106" spans="2:13" x14ac:dyDescent="0.2">
      <c r="B106" s="22" t="s">
        <v>262</v>
      </c>
      <c r="C106" s="89"/>
      <c r="D106" s="89"/>
      <c r="E106" s="89"/>
      <c r="F106" s="89"/>
      <c r="G106" s="89"/>
      <c r="H106" s="84">
        <f>H102+H104+H103</f>
        <v>16.618893843755721</v>
      </c>
      <c r="M106" s="86"/>
    </row>
    <row r="107" spans="2:13" ht="6" customHeight="1" x14ac:dyDescent="0.2">
      <c r="B107" s="87"/>
      <c r="C107" s="88"/>
      <c r="D107" s="88"/>
      <c r="E107" s="88"/>
      <c r="F107" s="88"/>
      <c r="G107" s="88"/>
      <c r="H107" s="88"/>
    </row>
    <row r="108" spans="2:13" x14ac:dyDescent="0.2">
      <c r="B108" s="12" t="s">
        <v>263</v>
      </c>
      <c r="H108" s="55">
        <f>H106-H98</f>
        <v>0.26853104655927851</v>
      </c>
      <c r="M108" s="86"/>
    </row>
    <row r="109" spans="2:13" x14ac:dyDescent="0.2">
      <c r="B109" s="12" t="s">
        <v>89</v>
      </c>
      <c r="H109" s="90">
        <f>H108/H106</f>
        <v>1.6158178100413985E-2</v>
      </c>
      <c r="M109" s="86"/>
    </row>
    <row r="110" spans="2:13" x14ac:dyDescent="0.2">
      <c r="M110" s="86"/>
    </row>
    <row r="111" spans="2:13" x14ac:dyDescent="0.2">
      <c r="M111" s="86"/>
    </row>
    <row r="115" spans="2:4" x14ac:dyDescent="0.2">
      <c r="C115" s="45"/>
    </row>
    <row r="116" spans="2:4" x14ac:dyDescent="0.2">
      <c r="C116" s="45"/>
    </row>
    <row r="117" spans="2:4" x14ac:dyDescent="0.2">
      <c r="C117" s="45"/>
    </row>
    <row r="123" spans="2:4" x14ac:dyDescent="0.2">
      <c r="B123" s="12" t="s">
        <v>109</v>
      </c>
      <c r="C123" s="91">
        <f>ACALC!J24</f>
        <v>32</v>
      </c>
      <c r="D123" s="18" t="s">
        <v>305</v>
      </c>
    </row>
    <row r="124" spans="2:4" x14ac:dyDescent="0.2">
      <c r="B124" s="12" t="s">
        <v>110</v>
      </c>
      <c r="C124" s="18">
        <f>-0.0158*C123+25.812</f>
        <v>25.3064</v>
      </c>
    </row>
    <row r="126" spans="2:4" x14ac:dyDescent="0.2">
      <c r="B126" s="12" t="s">
        <v>111</v>
      </c>
      <c r="C126" s="92">
        <f>C124*C123/1000*K17*60</f>
        <v>9.8560189235719797E-2</v>
      </c>
    </row>
    <row r="128" spans="2:4" x14ac:dyDescent="0.2">
      <c r="B128" s="12" t="s">
        <v>112</v>
      </c>
      <c r="C128" s="93">
        <f xml:space="preserve"> IF(ACALC!J23="Ja",(Daten_v_Kosten_Preise!C39/C126),0)</f>
        <v>0</v>
      </c>
    </row>
    <row r="130" spans="2:3" x14ac:dyDescent="0.2">
      <c r="B130" s="12" t="s">
        <v>113</v>
      </c>
      <c r="C130" s="99">
        <f>IF(ACALC!J23="Ja",(ROUNDDOWN((L17/(C123/1000)),0)),0)</f>
        <v>0</v>
      </c>
    </row>
    <row r="131" spans="2:3" x14ac:dyDescent="0.2">
      <c r="B131" s="12" t="s">
        <v>312</v>
      </c>
      <c r="C131" s="18">
        <f>Verpackung!C53</f>
        <v>5.5555555555555551E-5</v>
      </c>
    </row>
    <row r="132" spans="2:3" x14ac:dyDescent="0.2">
      <c r="B132" s="12" t="s">
        <v>314</v>
      </c>
      <c r="C132" s="93">
        <f>C130*C131</f>
        <v>0</v>
      </c>
    </row>
    <row r="138" spans="2:3" x14ac:dyDescent="0.2">
      <c r="B138" s="97">
        <f ca="1">TODAY()</f>
        <v>44641</v>
      </c>
    </row>
    <row r="139" spans="2:3" x14ac:dyDescent="0.2">
      <c r="B139" s="12" t="str">
        <f ca="1">"Q"&amp;ROUNDUP(MONTH(B138)/3,0)&amp;" "&amp;B140</f>
        <v>Q1 2022</v>
      </c>
      <c r="C139" s="18" t="s">
        <v>301</v>
      </c>
    </row>
    <row r="140" spans="2:3" x14ac:dyDescent="0.2">
      <c r="B140" s="95">
        <f ca="1">YEAR(TODAY())</f>
        <v>2022</v>
      </c>
    </row>
  </sheetData>
  <phoneticPr fontId="2" type="noConversion"/>
  <dataValidations count="1">
    <dataValidation type="list" allowBlank="1" showInputMessage="1" showErrorMessage="1" error="Keine Maschine ausgewählt" sqref="B5 B17" xr:uid="{00000000-0002-0000-0600-000000000000}">
      <formula1>"Bühler, Fuhr, Fenn, HVZ, Umspulanlage"</formula1>
    </dataValidation>
  </dataValidations>
  <pageMargins left="0.78740157499999996" right="0.78740157499999996" top="0.984251969" bottom="0.984251969" header="0.4921259845" footer="0.4921259845"/>
  <pageSetup paperSize="9" orientation="landscape"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2">
    <tabColor indexed="12"/>
  </sheetPr>
  <dimension ref="A2:F68"/>
  <sheetViews>
    <sheetView topLeftCell="A16" workbookViewId="0">
      <selection activeCell="E29" sqref="E29"/>
    </sheetView>
  </sheetViews>
  <sheetFormatPr baseColWidth="10" defaultColWidth="11.42578125" defaultRowHeight="11.25" x14ac:dyDescent="0.2"/>
  <cols>
    <col min="1" max="1" width="5.28515625" style="12" customWidth="1"/>
    <col min="2" max="2" width="26.5703125" style="12" customWidth="1"/>
    <col min="3" max="3" width="11.140625" style="12" customWidth="1"/>
    <col min="4" max="4" width="6" style="12" customWidth="1"/>
    <col min="5" max="16384" width="11.42578125" style="12"/>
  </cols>
  <sheetData>
    <row r="2" spans="2:6" x14ac:dyDescent="0.2">
      <c r="B2" s="12" t="s">
        <v>142</v>
      </c>
      <c r="E2" s="12" t="s">
        <v>143</v>
      </c>
      <c r="F2" s="12" t="s">
        <v>144</v>
      </c>
    </row>
    <row r="4" spans="2:6" x14ac:dyDescent="0.2">
      <c r="B4" s="12" t="s">
        <v>114</v>
      </c>
      <c r="C4" s="30">
        <v>4</v>
      </c>
      <c r="E4" s="12" t="s">
        <v>145</v>
      </c>
      <c r="F4" s="12">
        <v>1.2</v>
      </c>
    </row>
    <row r="5" spans="2:6" x14ac:dyDescent="0.2">
      <c r="B5" s="12" t="s">
        <v>115</v>
      </c>
      <c r="C5" s="30">
        <v>3.3</v>
      </c>
      <c r="E5" s="12" t="s">
        <v>146</v>
      </c>
      <c r="F5" s="12">
        <v>1</v>
      </c>
    </row>
    <row r="6" spans="2:6" x14ac:dyDescent="0.2">
      <c r="B6" s="12" t="s">
        <v>116</v>
      </c>
      <c r="C6" s="30">
        <v>3.3</v>
      </c>
      <c r="E6" s="12" t="s">
        <v>147</v>
      </c>
      <c r="F6" s="12">
        <v>0.8</v>
      </c>
    </row>
    <row r="7" spans="2:6" x14ac:dyDescent="0.2">
      <c r="B7" s="12" t="s">
        <v>117</v>
      </c>
      <c r="C7" s="30">
        <v>3.3</v>
      </c>
    </row>
    <row r="8" spans="2:6" x14ac:dyDescent="0.2">
      <c r="B8" s="12" t="s">
        <v>118</v>
      </c>
      <c r="C8" s="30">
        <v>4</v>
      </c>
    </row>
    <row r="9" spans="2:6" x14ac:dyDescent="0.2">
      <c r="B9" s="12" t="s">
        <v>119</v>
      </c>
      <c r="C9" s="30">
        <v>4</v>
      </c>
    </row>
    <row r="10" spans="2:6" x14ac:dyDescent="0.2">
      <c r="B10" s="12" t="s">
        <v>120</v>
      </c>
      <c r="C10" s="30">
        <v>4</v>
      </c>
    </row>
    <row r="11" spans="2:6" x14ac:dyDescent="0.2">
      <c r="B11" s="12" t="s">
        <v>121</v>
      </c>
      <c r="C11" s="30">
        <v>2.9</v>
      </c>
    </row>
    <row r="12" spans="2:6" x14ac:dyDescent="0.2">
      <c r="B12" s="12" t="s">
        <v>122</v>
      </c>
      <c r="C12" s="30">
        <v>2.9</v>
      </c>
    </row>
    <row r="13" spans="2:6" x14ac:dyDescent="0.2">
      <c r="B13" s="12" t="s">
        <v>123</v>
      </c>
      <c r="C13" s="30">
        <v>2.9</v>
      </c>
    </row>
    <row r="14" spans="2:6" x14ac:dyDescent="0.2">
      <c r="B14" s="22" t="s">
        <v>124</v>
      </c>
      <c r="C14" s="31">
        <f>AVERAGE(C4:C13)</f>
        <v>3.4599999999999995</v>
      </c>
    </row>
    <row r="15" spans="2:6" x14ac:dyDescent="0.2">
      <c r="C15" s="30"/>
    </row>
    <row r="16" spans="2:6" x14ac:dyDescent="0.2">
      <c r="B16" s="12" t="s">
        <v>125</v>
      </c>
      <c r="C16" s="30"/>
      <c r="E16" s="12" t="s">
        <v>141</v>
      </c>
    </row>
    <row r="17" spans="1:5" x14ac:dyDescent="0.2">
      <c r="C17" s="30"/>
    </row>
    <row r="18" spans="1:5" x14ac:dyDescent="0.2">
      <c r="B18" s="12" t="s">
        <v>126</v>
      </c>
      <c r="C18" s="30">
        <v>8</v>
      </c>
      <c r="E18" s="12">
        <v>4.5</v>
      </c>
    </row>
    <row r="19" spans="1:5" x14ac:dyDescent="0.2">
      <c r="B19" s="12" t="s">
        <v>127</v>
      </c>
      <c r="C19" s="30">
        <v>10</v>
      </c>
    </row>
    <row r="20" spans="1:5" x14ac:dyDescent="0.2">
      <c r="B20" s="12" t="s">
        <v>128</v>
      </c>
      <c r="C20" s="30">
        <v>11</v>
      </c>
    </row>
    <row r="21" spans="1:5" x14ac:dyDescent="0.2">
      <c r="B21" s="12" t="s">
        <v>129</v>
      </c>
      <c r="C21" s="30">
        <v>8</v>
      </c>
    </row>
    <row r="22" spans="1:5" x14ac:dyDescent="0.2">
      <c r="B22" s="22" t="s">
        <v>130</v>
      </c>
      <c r="C22" s="31">
        <v>8</v>
      </c>
      <c r="D22" s="12" t="s">
        <v>446</v>
      </c>
    </row>
    <row r="23" spans="1:5" x14ac:dyDescent="0.2">
      <c r="B23" s="22"/>
      <c r="C23" s="31"/>
    </row>
    <row r="24" spans="1:5" x14ac:dyDescent="0.2">
      <c r="B24" s="22"/>
      <c r="C24" s="31"/>
      <c r="D24" s="12" t="s">
        <v>389</v>
      </c>
      <c r="E24" s="18" t="s">
        <v>390</v>
      </c>
    </row>
    <row r="25" spans="1:5" x14ac:dyDescent="0.2">
      <c r="B25" s="22" t="s">
        <v>134</v>
      </c>
      <c r="C25" s="30">
        <v>2.5</v>
      </c>
      <c r="D25" s="12">
        <v>6</v>
      </c>
      <c r="E25" s="30">
        <f>D25*C25</f>
        <v>15</v>
      </c>
    </row>
    <row r="26" spans="1:5" x14ac:dyDescent="0.2">
      <c r="B26" s="12" t="s">
        <v>388</v>
      </c>
      <c r="C26" s="30">
        <v>3.5</v>
      </c>
      <c r="D26" s="12">
        <v>3</v>
      </c>
      <c r="E26" s="30">
        <f>D26*C26</f>
        <v>10.5</v>
      </c>
    </row>
    <row r="27" spans="1:5" x14ac:dyDescent="0.2">
      <c r="B27" s="12" t="s">
        <v>451</v>
      </c>
      <c r="C27" s="30"/>
      <c r="E27" s="30">
        <v>2.9</v>
      </c>
    </row>
    <row r="28" spans="1:5" x14ac:dyDescent="0.2">
      <c r="B28" s="12" t="s">
        <v>452</v>
      </c>
      <c r="C28" s="30"/>
      <c r="E28" s="30">
        <v>8.5</v>
      </c>
    </row>
    <row r="29" spans="1:5" x14ac:dyDescent="0.2">
      <c r="B29" s="22" t="s">
        <v>131</v>
      </c>
    </row>
    <row r="30" spans="1:5" x14ac:dyDescent="0.2">
      <c r="D30" s="22" t="s">
        <v>135</v>
      </c>
    </row>
    <row r="31" spans="1:5" x14ac:dyDescent="0.2">
      <c r="A31" s="12">
        <v>4</v>
      </c>
      <c r="B31" s="12" t="s">
        <v>132</v>
      </c>
      <c r="C31" s="12">
        <v>1.5</v>
      </c>
      <c r="D31" s="12">
        <f>C31/A31</f>
        <v>0.375</v>
      </c>
    </row>
    <row r="32" spans="1:5" x14ac:dyDescent="0.2">
      <c r="A32" s="12">
        <v>10</v>
      </c>
      <c r="B32" s="12" t="s">
        <v>15</v>
      </c>
      <c r="C32" s="12">
        <v>5</v>
      </c>
      <c r="D32" s="12">
        <f>C32/A32</f>
        <v>0.5</v>
      </c>
    </row>
    <row r="33" spans="1:5" x14ac:dyDescent="0.2">
      <c r="A33" s="12">
        <v>2</v>
      </c>
      <c r="B33" s="12" t="s">
        <v>133</v>
      </c>
      <c r="C33" s="12">
        <v>1</v>
      </c>
      <c r="D33" s="12">
        <f>C33/A33</f>
        <v>0.5</v>
      </c>
    </row>
    <row r="34" spans="1:5" x14ac:dyDescent="0.2">
      <c r="A34" s="12">
        <v>1</v>
      </c>
      <c r="B34" s="12" t="s">
        <v>134</v>
      </c>
      <c r="C34" s="12">
        <v>0.5</v>
      </c>
      <c r="D34" s="12">
        <f>C34/A34</f>
        <v>0.5</v>
      </c>
    </row>
    <row r="37" spans="1:5" x14ac:dyDescent="0.2">
      <c r="B37" s="12" t="s">
        <v>11</v>
      </c>
    </row>
    <row r="39" spans="1:5" x14ac:dyDescent="0.2">
      <c r="B39" s="12" t="s">
        <v>136</v>
      </c>
      <c r="C39" s="32">
        <v>35</v>
      </c>
      <c r="E39" s="12">
        <v>35</v>
      </c>
    </row>
    <row r="40" spans="1:5" x14ac:dyDescent="0.2">
      <c r="B40" s="12" t="s">
        <v>137</v>
      </c>
      <c r="C40" s="32">
        <v>11.61</v>
      </c>
      <c r="E40" s="12">
        <v>48</v>
      </c>
    </row>
    <row r="42" spans="1:5" x14ac:dyDescent="0.2">
      <c r="B42" s="12" t="s">
        <v>247</v>
      </c>
      <c r="C42" s="32">
        <v>0.82</v>
      </c>
    </row>
    <row r="43" spans="1:5" x14ac:dyDescent="0.2">
      <c r="B43" s="12" t="s">
        <v>250</v>
      </c>
      <c r="C43" s="32">
        <v>4.95</v>
      </c>
    </row>
    <row r="45" spans="1:5" x14ac:dyDescent="0.2">
      <c r="B45" s="12" t="s">
        <v>251</v>
      </c>
      <c r="C45" s="33">
        <v>240.66</v>
      </c>
      <c r="D45" s="12" t="s">
        <v>253</v>
      </c>
    </row>
    <row r="47" spans="1:5" x14ac:dyDescent="0.2">
      <c r="B47" s="12" t="s">
        <v>254</v>
      </c>
      <c r="C47" s="32">
        <v>9.66</v>
      </c>
    </row>
    <row r="50" spans="2:6" x14ac:dyDescent="0.2">
      <c r="B50" s="498" t="s">
        <v>445</v>
      </c>
      <c r="C50" s="498"/>
    </row>
    <row r="51" spans="2:6" x14ac:dyDescent="0.2">
      <c r="B51" s="12" t="s">
        <v>15</v>
      </c>
      <c r="C51" s="12">
        <v>14.45</v>
      </c>
    </row>
    <row r="52" spans="2:6" x14ac:dyDescent="0.2">
      <c r="B52" s="12" t="s">
        <v>394</v>
      </c>
      <c r="C52" s="12">
        <v>43.11</v>
      </c>
    </row>
    <row r="53" spans="2:6" x14ac:dyDescent="0.2">
      <c r="B53" s="12" t="s">
        <v>395</v>
      </c>
      <c r="C53" s="12">
        <v>29.5</v>
      </c>
    </row>
    <row r="54" spans="2:6" x14ac:dyDescent="0.2">
      <c r="B54" s="12" t="s">
        <v>133</v>
      </c>
      <c r="C54" s="12">
        <v>7.35</v>
      </c>
    </row>
    <row r="55" spans="2:6" x14ac:dyDescent="0.2">
      <c r="B55" s="12" t="s">
        <v>134</v>
      </c>
      <c r="C55" s="12">
        <v>20.7</v>
      </c>
    </row>
    <row r="58" spans="2:6" x14ac:dyDescent="0.2">
      <c r="B58" s="12" t="s">
        <v>419</v>
      </c>
    </row>
    <row r="61" spans="2:6" x14ac:dyDescent="0.2">
      <c r="B61" s="12" t="s">
        <v>420</v>
      </c>
      <c r="C61" s="12" t="s">
        <v>421</v>
      </c>
      <c r="D61" s="12">
        <v>1.57</v>
      </c>
      <c r="E61" s="12">
        <v>0.2</v>
      </c>
      <c r="F61" s="12">
        <f>AVERAGE(D61:D64)</f>
        <v>1.36</v>
      </c>
    </row>
    <row r="62" spans="2:6" x14ac:dyDescent="0.2">
      <c r="C62" s="12" t="s">
        <v>422</v>
      </c>
      <c r="D62" s="12">
        <v>1.35</v>
      </c>
      <c r="E62" s="12">
        <v>0.2</v>
      </c>
    </row>
    <row r="63" spans="2:6" x14ac:dyDescent="0.2">
      <c r="B63" s="12" t="s">
        <v>423</v>
      </c>
      <c r="C63" s="12" t="s">
        <v>421</v>
      </c>
      <c r="D63" s="12">
        <v>1.57</v>
      </c>
      <c r="E63" s="12">
        <v>0.2</v>
      </c>
    </row>
    <row r="64" spans="2:6" x14ac:dyDescent="0.2">
      <c r="C64" s="12" t="s">
        <v>422</v>
      </c>
      <c r="D64" s="12">
        <v>0.95</v>
      </c>
      <c r="E64" s="12">
        <v>0.2</v>
      </c>
    </row>
    <row r="65" spans="2:6" x14ac:dyDescent="0.2">
      <c r="B65" s="12" t="s">
        <v>424</v>
      </c>
      <c r="C65" s="12" t="s">
        <v>422</v>
      </c>
      <c r="D65" s="12">
        <v>1.05</v>
      </c>
      <c r="E65" s="12">
        <v>0.25</v>
      </c>
      <c r="F65" s="12">
        <f>AVERAGE(D65:D66)</f>
        <v>1.1600000000000001</v>
      </c>
    </row>
    <row r="66" spans="2:6" x14ac:dyDescent="0.2">
      <c r="B66" s="12" t="s">
        <v>425</v>
      </c>
      <c r="C66" s="12" t="s">
        <v>422</v>
      </c>
      <c r="D66" s="12">
        <v>1.27</v>
      </c>
      <c r="E66" s="12">
        <v>0.25</v>
      </c>
    </row>
    <row r="67" spans="2:6" x14ac:dyDescent="0.2">
      <c r="B67" s="12" t="s">
        <v>426</v>
      </c>
      <c r="C67" s="12" t="s">
        <v>422</v>
      </c>
      <c r="D67" s="12">
        <v>0.94</v>
      </c>
      <c r="E67" s="12">
        <v>0.3</v>
      </c>
      <c r="F67" s="12">
        <f>AVERAGE(D67:D68)</f>
        <v>1.0499999999999998</v>
      </c>
    </row>
    <row r="68" spans="2:6" x14ac:dyDescent="0.2">
      <c r="B68" s="12" t="s">
        <v>427</v>
      </c>
      <c r="C68" s="12" t="s">
        <v>422</v>
      </c>
      <c r="D68" s="12">
        <v>1.1599999999999999</v>
      </c>
      <c r="E68" s="12">
        <v>0.3</v>
      </c>
    </row>
  </sheetData>
  <mergeCells count="1">
    <mergeCell ref="B50:C50"/>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4">
    <tabColor indexed="12"/>
  </sheetPr>
  <dimension ref="B2:F24"/>
  <sheetViews>
    <sheetView workbookViewId="0">
      <selection activeCell="E28" sqref="E28"/>
    </sheetView>
  </sheetViews>
  <sheetFormatPr baseColWidth="10" defaultColWidth="11.42578125" defaultRowHeight="11.25" x14ac:dyDescent="0.2"/>
  <cols>
    <col min="1" max="1" width="1.5703125" style="12" customWidth="1"/>
    <col min="2" max="2" width="18.7109375" style="12" bestFit="1" customWidth="1"/>
    <col min="3" max="16384" width="11.42578125" style="12"/>
  </cols>
  <sheetData>
    <row r="2" spans="2:6" x14ac:dyDescent="0.2">
      <c r="B2" s="12">
        <f>AVERAGE(ACALC!C15:C16)</f>
        <v>20</v>
      </c>
    </row>
    <row r="4" spans="2:6" x14ac:dyDescent="0.2">
      <c r="B4" s="12" t="s">
        <v>16</v>
      </c>
      <c r="C4" s="12" t="s">
        <v>17</v>
      </c>
      <c r="D4" s="12" t="s">
        <v>18</v>
      </c>
      <c r="E4" s="12" t="s">
        <v>19</v>
      </c>
    </row>
    <row r="6" spans="2:6" x14ac:dyDescent="0.2">
      <c r="B6" s="26">
        <f>((4*(B2/1000)^2)+(ACALC!C4^2))/(8*(B2/1000))</f>
        <v>6.26</v>
      </c>
      <c r="C6" s="27">
        <f>ACALC!C4/(2*Geometrie!B6)</f>
        <v>7.9872204472843447E-2</v>
      </c>
      <c r="D6" s="12">
        <f>2*(ASIN(C6))</f>
        <v>0.15991474849316017</v>
      </c>
      <c r="E6" s="12">
        <f>((B6^2)/2)*(D6-SIN(D6))</f>
        <v>1.3337599025281409E-2</v>
      </c>
    </row>
    <row r="8" spans="2:6" x14ac:dyDescent="0.2">
      <c r="B8" s="28"/>
      <c r="C8" s="28"/>
      <c r="D8" s="28"/>
      <c r="E8" s="28"/>
      <c r="F8" s="28"/>
    </row>
    <row r="9" spans="2:6" x14ac:dyDescent="0.2">
      <c r="B9" s="28" t="s">
        <v>96</v>
      </c>
      <c r="C9" s="28"/>
      <c r="D9" s="28"/>
      <c r="E9" s="28"/>
      <c r="F9" s="28"/>
    </row>
    <row r="10" spans="2:6" x14ac:dyDescent="0.2">
      <c r="B10" s="28"/>
      <c r="C10" s="28"/>
      <c r="D10" s="28"/>
      <c r="E10" s="28"/>
      <c r="F10" s="28"/>
    </row>
    <row r="11" spans="2:6" x14ac:dyDescent="0.2">
      <c r="B11" s="28">
        <f>IF(F15=1,7.9478*(ACALC!C4*ACALC!C5)^-0.5023,10.678*C16^-0.2533)</f>
        <v>17.8377290603445</v>
      </c>
      <c r="C11" s="28"/>
      <c r="D11" s="28"/>
      <c r="E11" s="28"/>
      <c r="F11" s="28"/>
    </row>
    <row r="12" spans="2:6" x14ac:dyDescent="0.2">
      <c r="B12" s="28"/>
      <c r="C12" s="28"/>
      <c r="D12" s="28"/>
      <c r="E12" s="28"/>
      <c r="F12" s="28"/>
    </row>
    <row r="13" spans="2:6" x14ac:dyDescent="0.2">
      <c r="B13" s="28">
        <f>ACALC!C10</f>
        <v>4.5</v>
      </c>
      <c r="C13" s="28"/>
      <c r="D13" s="28"/>
      <c r="E13" s="28"/>
      <c r="F13" s="28"/>
    </row>
    <row r="14" spans="2:6" x14ac:dyDescent="0.2">
      <c r="B14" s="28"/>
      <c r="C14" s="28"/>
      <c r="D14" s="28"/>
      <c r="E14" s="28"/>
      <c r="F14" s="28"/>
    </row>
    <row r="15" spans="2:6" x14ac:dyDescent="0.2">
      <c r="B15" s="28" t="s">
        <v>97</v>
      </c>
      <c r="C15" s="28" t="s">
        <v>99</v>
      </c>
      <c r="D15" s="28"/>
      <c r="E15" s="28" t="s">
        <v>102</v>
      </c>
      <c r="F15" s="28">
        <f>IF(C16&lt;0.8,1,0)</f>
        <v>1</v>
      </c>
    </row>
    <row r="16" spans="2:6" x14ac:dyDescent="0.2">
      <c r="B16" s="29">
        <f>-(B13-B11)/B11</f>
        <v>0.74772573432544942</v>
      </c>
      <c r="C16" s="28">
        <f>ACALC!C4*ACALC!C5</f>
        <v>0.2</v>
      </c>
      <c r="D16" s="28"/>
      <c r="E16" s="28"/>
      <c r="F16" s="28"/>
    </row>
    <row r="17" spans="2:6" x14ac:dyDescent="0.2">
      <c r="B17" s="28" t="s">
        <v>98</v>
      </c>
      <c r="C17" s="28"/>
      <c r="D17" s="28"/>
      <c r="E17" s="28"/>
      <c r="F17" s="28"/>
    </row>
    <row r="18" spans="2:6" x14ac:dyDescent="0.2">
      <c r="B18" s="28">
        <f>ACALC!H19</f>
        <v>0</v>
      </c>
      <c r="C18" s="28"/>
      <c r="D18" s="28"/>
      <c r="E18" s="28"/>
      <c r="F18" s="28"/>
    </row>
    <row r="19" spans="2:6" x14ac:dyDescent="0.2">
      <c r="B19" s="28"/>
      <c r="C19" s="28"/>
      <c r="D19" s="28"/>
      <c r="E19" s="28"/>
      <c r="F19" s="28"/>
    </row>
    <row r="20" spans="2:6" x14ac:dyDescent="0.2">
      <c r="B20" s="28" t="s">
        <v>100</v>
      </c>
      <c r="C20" s="28">
        <f>IF(F15=1,7.9478*C16^-0.5023,10.678*C16^-0.2533)</f>
        <v>17.8377290603445</v>
      </c>
      <c r="D20" s="28"/>
      <c r="E20" s="28"/>
      <c r="F20" s="28"/>
    </row>
    <row r="21" spans="2:6" x14ac:dyDescent="0.2">
      <c r="B21" s="28"/>
      <c r="C21" s="28"/>
      <c r="D21" s="28"/>
      <c r="E21" s="28"/>
      <c r="F21" s="28"/>
    </row>
    <row r="22" spans="2:6" x14ac:dyDescent="0.2">
      <c r="B22" s="28" t="s">
        <v>101</v>
      </c>
      <c r="C22" s="28">
        <f>-B18*C20+C20</f>
        <v>17.8377290603445</v>
      </c>
      <c r="D22" s="28"/>
      <c r="E22" s="28"/>
      <c r="F22" s="28"/>
    </row>
    <row r="23" spans="2:6" x14ac:dyDescent="0.2">
      <c r="B23" s="28"/>
      <c r="C23" s="28"/>
      <c r="D23" s="28"/>
      <c r="E23" s="28"/>
      <c r="F23" s="28"/>
    </row>
    <row r="24" spans="2:6" x14ac:dyDescent="0.2">
      <c r="B24" s="28"/>
      <c r="C24" s="28"/>
      <c r="D24" s="28"/>
      <c r="E24" s="28"/>
      <c r="F24" s="28"/>
    </row>
  </sheetData>
  <sheetProtection sheet="1" objects="1" scenarios="1"/>
  <phoneticPr fontId="2" type="noConversion"/>
  <pageMargins left="0.78740157499999996" right="0.78740157499999996" top="0.984251969" bottom="0.984251969" header="0.4921259845" footer="0.4921259845"/>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3">
    <tabColor theme="5"/>
  </sheetPr>
  <dimension ref="B2:AC53"/>
  <sheetViews>
    <sheetView workbookViewId="0">
      <selection activeCell="V21" sqref="V21"/>
    </sheetView>
  </sheetViews>
  <sheetFormatPr baseColWidth="10" defaultColWidth="11.42578125" defaultRowHeight="11.25" x14ac:dyDescent="0.2"/>
  <cols>
    <col min="1" max="1" width="1" style="12" customWidth="1"/>
    <col min="2" max="2" width="34.140625" style="12" customWidth="1"/>
    <col min="3" max="3" width="6.85546875" style="12" bestFit="1" customWidth="1"/>
    <col min="4" max="4" width="7.7109375" style="12" bestFit="1" customWidth="1"/>
    <col min="5" max="5" width="5.28515625" style="12" bestFit="1" customWidth="1"/>
    <col min="6" max="6" width="4" style="12" bestFit="1" customWidth="1"/>
    <col min="7" max="7" width="3.140625" style="12" customWidth="1"/>
    <col min="8" max="8" width="4.140625" style="12" customWidth="1"/>
    <col min="9" max="9" width="3.7109375" style="12" customWidth="1"/>
    <col min="10" max="10" width="5.7109375" style="12" customWidth="1"/>
    <col min="11" max="11" width="5" style="12" customWidth="1"/>
    <col min="12" max="12" width="9" style="12" customWidth="1"/>
    <col min="13" max="13" width="10" style="12" bestFit="1" customWidth="1"/>
    <col min="14" max="14" width="8" style="12" bestFit="1" customWidth="1"/>
    <col min="15" max="15" width="6.42578125" style="12" bestFit="1" customWidth="1"/>
    <col min="16" max="16" width="6.42578125" style="12" customWidth="1"/>
    <col min="17" max="17" width="6.28515625" style="12" bestFit="1" customWidth="1"/>
    <col min="18" max="18" width="13.28515625" style="12" bestFit="1" customWidth="1"/>
    <col min="19" max="19" width="5" style="12" bestFit="1" customWidth="1"/>
    <col min="20" max="20" width="10.85546875" style="12" bestFit="1" customWidth="1"/>
    <col min="21" max="21" width="4.28515625" style="12" bestFit="1" customWidth="1"/>
    <col min="22" max="22" width="6.42578125" style="12" bestFit="1" customWidth="1"/>
    <col min="23" max="23" width="12.28515625" style="12" bestFit="1" customWidth="1"/>
    <col min="24" max="24" width="8.85546875" style="12" bestFit="1" customWidth="1"/>
    <col min="25" max="25" width="7.140625" style="12" bestFit="1" customWidth="1"/>
    <col min="26" max="26" width="11.28515625" style="12" bestFit="1" customWidth="1"/>
    <col min="27" max="27" width="9.5703125" style="12" bestFit="1" customWidth="1"/>
    <col min="28" max="29" width="11.28515625" style="12" bestFit="1" customWidth="1"/>
    <col min="30" max="16384" width="11.42578125" style="12"/>
  </cols>
  <sheetData>
    <row r="2" spans="2:29" x14ac:dyDescent="0.2">
      <c r="M2" s="12" t="s">
        <v>149</v>
      </c>
      <c r="N2" s="13">
        <f>ACALC!C8</f>
        <v>5000</v>
      </c>
    </row>
    <row r="3" spans="2:29" x14ac:dyDescent="0.2">
      <c r="B3" s="12">
        <v>1</v>
      </c>
      <c r="C3" s="12">
        <v>2</v>
      </c>
      <c r="D3" s="12">
        <v>3</v>
      </c>
      <c r="E3" s="12">
        <v>4</v>
      </c>
      <c r="F3" s="12">
        <v>5</v>
      </c>
      <c r="G3" s="12">
        <v>6</v>
      </c>
      <c r="H3" s="12">
        <v>7</v>
      </c>
      <c r="I3" s="12">
        <v>8</v>
      </c>
      <c r="J3" s="12">
        <v>9</v>
      </c>
      <c r="K3" s="12">
        <v>10</v>
      </c>
    </row>
    <row r="4" spans="2:29" ht="48" customHeight="1" x14ac:dyDescent="0.2">
      <c r="B4" s="14" t="s">
        <v>150</v>
      </c>
      <c r="C4" s="14" t="s">
        <v>21</v>
      </c>
      <c r="D4" s="12" t="s">
        <v>151</v>
      </c>
      <c r="E4" s="12" t="s">
        <v>152</v>
      </c>
      <c r="F4" s="12" t="s">
        <v>153</v>
      </c>
      <c r="G4" s="12" t="s">
        <v>154</v>
      </c>
      <c r="H4" s="12" t="s">
        <v>155</v>
      </c>
      <c r="I4" s="12" t="s">
        <v>156</v>
      </c>
      <c r="J4" s="12" t="s">
        <v>217</v>
      </c>
      <c r="K4" s="12" t="s">
        <v>218</v>
      </c>
      <c r="M4" s="15" t="s">
        <v>157</v>
      </c>
      <c r="N4" s="15" t="s">
        <v>158</v>
      </c>
      <c r="O4" s="15" t="s">
        <v>159</v>
      </c>
      <c r="P4" s="15"/>
      <c r="Q4" s="15" t="s">
        <v>160</v>
      </c>
      <c r="R4" s="15" t="s">
        <v>161</v>
      </c>
      <c r="S4" s="15" t="s">
        <v>162</v>
      </c>
      <c r="T4" s="15" t="s">
        <v>163</v>
      </c>
      <c r="U4" s="15"/>
      <c r="V4" s="15" t="s">
        <v>164</v>
      </c>
      <c r="W4" s="15" t="s">
        <v>165</v>
      </c>
      <c r="X4" s="15" t="s">
        <v>166</v>
      </c>
      <c r="Y4" s="15" t="s">
        <v>167</v>
      </c>
      <c r="Z4" s="15" t="s">
        <v>140</v>
      </c>
      <c r="AA4" s="15" t="s">
        <v>168</v>
      </c>
      <c r="AB4" s="15" t="s">
        <v>169</v>
      </c>
      <c r="AC4" s="15" t="s">
        <v>170</v>
      </c>
    </row>
    <row r="5" spans="2:29" x14ac:dyDescent="0.2">
      <c r="B5" s="12" t="s">
        <v>171</v>
      </c>
      <c r="C5" s="16">
        <v>6.9335250000000004</v>
      </c>
      <c r="D5" s="16">
        <v>7.7000250000000001</v>
      </c>
      <c r="E5" s="12">
        <v>12</v>
      </c>
      <c r="F5" s="12">
        <v>8</v>
      </c>
      <c r="G5" s="12">
        <v>0</v>
      </c>
      <c r="H5" s="12">
        <v>0</v>
      </c>
      <c r="I5" s="12">
        <v>0</v>
      </c>
      <c r="J5" s="12">
        <v>0.16</v>
      </c>
      <c r="K5" s="12">
        <v>0.26</v>
      </c>
      <c r="M5" s="17" t="str">
        <f>ACALC!C23</f>
        <v>Spule_HKV160_bikonisch</v>
      </c>
      <c r="N5" s="18">
        <f>VLOOKUP(M5,B24:C32,2,FALSE)</f>
        <v>1.8716900000000001</v>
      </c>
      <c r="O5" s="18">
        <f>VLOOKUP(M5,B24:D32,3,FALSE)</f>
        <v>8</v>
      </c>
      <c r="P5" s="18"/>
      <c r="Q5" s="17" t="str">
        <f>ACALC!C24</f>
        <v>Ja</v>
      </c>
      <c r="R5" s="17" t="str">
        <f>ACALC!C26</f>
        <v>84er</v>
      </c>
      <c r="S5" s="17" t="str">
        <f>ACALC!C27</f>
        <v>Nein</v>
      </c>
      <c r="T5" s="19">
        <f>VLOOKUP(R5,B5:D19,IF(S5="nein",2,3),FALSE)</f>
        <v>30.54</v>
      </c>
      <c r="U5" s="19" t="str">
        <f>VLOOKUP(M5,B24:E32,4,FALSE)</f>
        <v>20H</v>
      </c>
      <c r="V5" s="20">
        <f>VLOOKUP(U5,B41:C45,2,FALSE)</f>
        <v>5</v>
      </c>
      <c r="W5" s="18">
        <f>VLOOKUP(R5,B5:I19,V5,FALSE)</f>
        <v>84</v>
      </c>
      <c r="X5" s="18">
        <f>O5*W5</f>
        <v>672</v>
      </c>
      <c r="Y5" s="18">
        <f>ROUNDUP(N2/X5,0)</f>
        <v>8</v>
      </c>
      <c r="Z5" s="21">
        <f>Y5*T5</f>
        <v>244.32</v>
      </c>
      <c r="AA5" s="19">
        <f>IF(Q5="nein",N2/O5*N5,0.75*N2/O5*N5)</f>
        <v>877.35468750000007</v>
      </c>
      <c r="AB5" s="21">
        <f>AA5+Z5</f>
        <v>1121.6746875000001</v>
      </c>
      <c r="AC5" s="21">
        <f>AB5/N2</f>
        <v>0.22433493750000003</v>
      </c>
    </row>
    <row r="6" spans="2:29" x14ac:dyDescent="0.2">
      <c r="B6" s="12" t="s">
        <v>174</v>
      </c>
      <c r="C6" s="16">
        <f>4.08+1.08+3.19+1</f>
        <v>9.35</v>
      </c>
      <c r="D6" s="16">
        <v>9.3260250000000013</v>
      </c>
      <c r="E6" s="12">
        <v>28</v>
      </c>
      <c r="F6" s="12">
        <v>20</v>
      </c>
      <c r="G6" s="12">
        <v>0</v>
      </c>
      <c r="H6" s="12">
        <v>0</v>
      </c>
      <c r="I6" s="12">
        <v>0</v>
      </c>
      <c r="J6" s="12">
        <v>0.16</v>
      </c>
      <c r="K6" s="12">
        <v>0.26</v>
      </c>
    </row>
    <row r="7" spans="2:29" x14ac:dyDescent="0.2">
      <c r="B7" s="12" t="s">
        <v>173</v>
      </c>
      <c r="C7" s="16">
        <f>9.5+6*1.09+13.5+1</f>
        <v>30.54</v>
      </c>
      <c r="D7" s="16">
        <v>22.141500000000001</v>
      </c>
      <c r="E7" s="12">
        <v>0</v>
      </c>
      <c r="F7" s="12">
        <v>84</v>
      </c>
      <c r="G7" s="12">
        <v>0</v>
      </c>
      <c r="H7" s="12">
        <v>0</v>
      </c>
      <c r="I7" s="12">
        <v>0</v>
      </c>
      <c r="J7" s="12">
        <v>0.16</v>
      </c>
      <c r="K7" s="12">
        <v>0.26</v>
      </c>
    </row>
    <row r="8" spans="2:29" x14ac:dyDescent="0.2">
      <c r="B8" s="12" t="s">
        <v>175</v>
      </c>
      <c r="C8" s="16">
        <f>9.9+6*0.944+13.5+1</f>
        <v>30.064</v>
      </c>
      <c r="D8" s="16">
        <v>20.184549999999998</v>
      </c>
      <c r="E8" s="12">
        <v>108</v>
      </c>
      <c r="F8" s="12">
        <v>0</v>
      </c>
      <c r="G8" s="12">
        <v>0</v>
      </c>
      <c r="H8" s="12">
        <v>0</v>
      </c>
      <c r="I8" s="12">
        <v>0</v>
      </c>
      <c r="J8" s="12">
        <v>0.16</v>
      </c>
      <c r="K8" s="12">
        <v>0.26</v>
      </c>
    </row>
    <row r="9" spans="2:29" x14ac:dyDescent="0.2">
      <c r="B9" s="12" t="s">
        <v>447</v>
      </c>
      <c r="C9" s="16">
        <f>7.8+6*0.88+6*0.675+1+13.5</f>
        <v>31.630000000000003</v>
      </c>
      <c r="D9" s="16">
        <v>19.245849999999997</v>
      </c>
      <c r="E9" s="12">
        <v>0</v>
      </c>
      <c r="F9" s="12">
        <v>0</v>
      </c>
      <c r="G9" s="12">
        <v>0</v>
      </c>
      <c r="H9" s="12">
        <v>0</v>
      </c>
      <c r="I9" s="12">
        <v>120</v>
      </c>
      <c r="J9" s="12">
        <v>0.16</v>
      </c>
      <c r="K9" s="12">
        <v>0.26</v>
      </c>
    </row>
    <row r="10" spans="2:29" x14ac:dyDescent="0.2">
      <c r="B10" s="402" t="s">
        <v>448</v>
      </c>
      <c r="C10" s="16"/>
      <c r="D10" s="16"/>
      <c r="K10" s="12">
        <v>0.26</v>
      </c>
      <c r="R10" s="12" t="s">
        <v>219</v>
      </c>
      <c r="T10" s="12">
        <f>VLOOKUP(R5,B5:K19,9,FALSE)</f>
        <v>0.16</v>
      </c>
    </row>
    <row r="11" spans="2:29" x14ac:dyDescent="0.2">
      <c r="B11" s="12" t="s">
        <v>176</v>
      </c>
      <c r="C11" s="16">
        <f>6.93+1.08+4.08+1+13.5</f>
        <v>26.59</v>
      </c>
      <c r="D11" s="16">
        <v>17.637274999999999</v>
      </c>
      <c r="E11" s="12">
        <f>E5+E6</f>
        <v>40</v>
      </c>
      <c r="F11" s="12">
        <f>F5+F6</f>
        <v>28</v>
      </c>
      <c r="G11" s="12">
        <f>G5+G6</f>
        <v>0</v>
      </c>
      <c r="H11" s="12">
        <f>H5+H6</f>
        <v>0</v>
      </c>
      <c r="I11" s="12">
        <f>I5+I6</f>
        <v>0</v>
      </c>
      <c r="J11" s="12">
        <v>0.16</v>
      </c>
      <c r="K11" s="12">
        <v>0.26</v>
      </c>
      <c r="R11" s="12" t="s">
        <v>220</v>
      </c>
      <c r="T11" s="12">
        <f>IF(S5="Ja",0.1,0)</f>
        <v>0</v>
      </c>
    </row>
    <row r="12" spans="2:29" x14ac:dyDescent="0.2">
      <c r="B12" s="12" t="s">
        <v>177</v>
      </c>
      <c r="C12" s="16">
        <f>2*4.08+2*1.08+2+13.5</f>
        <v>25.82</v>
      </c>
      <c r="D12" s="16">
        <v>19.3995</v>
      </c>
      <c r="E12" s="12">
        <f>2*E6</f>
        <v>56</v>
      </c>
      <c r="F12" s="12">
        <f>2*F6</f>
        <v>40</v>
      </c>
      <c r="G12" s="12">
        <f>2*G6</f>
        <v>0</v>
      </c>
      <c r="H12" s="12">
        <f>2*H6</f>
        <v>0</v>
      </c>
      <c r="I12" s="12">
        <f>2*I6</f>
        <v>0</v>
      </c>
      <c r="J12" s="12">
        <v>0.16</v>
      </c>
      <c r="K12" s="12">
        <v>0.26</v>
      </c>
      <c r="R12" s="12" t="s">
        <v>21</v>
      </c>
      <c r="T12" s="22">
        <f>T10+T11</f>
        <v>0.16</v>
      </c>
    </row>
    <row r="13" spans="2:29" x14ac:dyDescent="0.2">
      <c r="B13" s="12" t="s">
        <v>178</v>
      </c>
      <c r="C13" s="16">
        <f>2*4.66+2*2.125+1+13.5</f>
        <v>28.07</v>
      </c>
      <c r="D13" s="16">
        <v>19.299062500000002</v>
      </c>
      <c r="E13" s="12">
        <v>0</v>
      </c>
      <c r="F13" s="12">
        <v>0</v>
      </c>
      <c r="G13" s="12">
        <v>20</v>
      </c>
      <c r="H13" s="12">
        <v>16</v>
      </c>
      <c r="I13" s="12">
        <v>0</v>
      </c>
      <c r="J13" s="12">
        <v>0.16</v>
      </c>
      <c r="K13" s="12">
        <v>0.26</v>
      </c>
    </row>
    <row r="14" spans="2:29" x14ac:dyDescent="0.2">
      <c r="B14" s="12" t="s">
        <v>179</v>
      </c>
      <c r="C14" s="16">
        <f>4*4.66+4*2.125+1+1+13.5</f>
        <v>42.64</v>
      </c>
      <c r="D14" s="16">
        <v>30.110500000000002</v>
      </c>
      <c r="E14" s="12">
        <v>0</v>
      </c>
      <c r="F14" s="12">
        <v>0</v>
      </c>
      <c r="G14" s="12">
        <v>40</v>
      </c>
      <c r="H14" s="12">
        <v>32</v>
      </c>
      <c r="I14" s="12">
        <v>0</v>
      </c>
      <c r="J14" s="12">
        <v>0.16</v>
      </c>
      <c r="K14" s="12">
        <v>0.26</v>
      </c>
    </row>
    <row r="15" spans="2:29" x14ac:dyDescent="0.2">
      <c r="B15" s="402" t="s">
        <v>448</v>
      </c>
      <c r="C15" s="16"/>
      <c r="D15" s="16"/>
    </row>
    <row r="16" spans="2:29" x14ac:dyDescent="0.2">
      <c r="B16" s="12" t="s">
        <v>180</v>
      </c>
      <c r="C16" s="16">
        <v>75</v>
      </c>
      <c r="D16" s="16">
        <v>80</v>
      </c>
      <c r="E16" s="12">
        <f>2*E7</f>
        <v>0</v>
      </c>
      <c r="F16" s="12">
        <f t="shared" ref="F16:I19" si="0">2*F7</f>
        <v>168</v>
      </c>
      <c r="G16" s="12">
        <f t="shared" si="0"/>
        <v>0</v>
      </c>
      <c r="H16" s="12">
        <f t="shared" si="0"/>
        <v>0</v>
      </c>
      <c r="I16" s="12">
        <f t="shared" si="0"/>
        <v>0</v>
      </c>
      <c r="J16" s="12">
        <v>0.46</v>
      </c>
      <c r="K16" s="12">
        <v>0.56000000000000005</v>
      </c>
    </row>
    <row r="17" spans="2:14" x14ac:dyDescent="0.2">
      <c r="B17" s="12" t="s">
        <v>181</v>
      </c>
      <c r="C17" s="16">
        <v>70</v>
      </c>
      <c r="D17" s="16">
        <v>75</v>
      </c>
      <c r="E17" s="12">
        <f>2*E8</f>
        <v>216</v>
      </c>
      <c r="F17" s="12">
        <f t="shared" si="0"/>
        <v>0</v>
      </c>
      <c r="G17" s="12">
        <f t="shared" si="0"/>
        <v>0</v>
      </c>
      <c r="H17" s="12">
        <f t="shared" si="0"/>
        <v>0</v>
      </c>
      <c r="I17" s="12">
        <f t="shared" si="0"/>
        <v>0</v>
      </c>
      <c r="J17" s="12">
        <v>0.46</v>
      </c>
      <c r="K17" s="12">
        <v>0.56000000000000005</v>
      </c>
    </row>
    <row r="18" spans="2:14" x14ac:dyDescent="0.2">
      <c r="B18" s="12" t="s">
        <v>182</v>
      </c>
      <c r="C18" s="16">
        <v>70</v>
      </c>
      <c r="D18" s="16">
        <v>75</v>
      </c>
      <c r="E18" s="12">
        <f>2*E9</f>
        <v>0</v>
      </c>
      <c r="F18" s="12">
        <f t="shared" si="0"/>
        <v>0</v>
      </c>
      <c r="G18" s="12">
        <f t="shared" si="0"/>
        <v>0</v>
      </c>
      <c r="H18" s="12">
        <f t="shared" si="0"/>
        <v>0</v>
      </c>
      <c r="I18" s="12">
        <f t="shared" si="0"/>
        <v>240</v>
      </c>
      <c r="J18" s="12">
        <v>0.46</v>
      </c>
      <c r="K18" s="12">
        <v>0.56000000000000005</v>
      </c>
    </row>
    <row r="19" spans="2:14" x14ac:dyDescent="0.2">
      <c r="B19" s="12" t="s">
        <v>183</v>
      </c>
      <c r="C19" s="16">
        <v>95</v>
      </c>
      <c r="D19" s="16">
        <v>100</v>
      </c>
      <c r="E19" s="12">
        <f>2*E10</f>
        <v>0</v>
      </c>
      <c r="F19" s="12">
        <f t="shared" si="0"/>
        <v>0</v>
      </c>
      <c r="G19" s="12">
        <f t="shared" si="0"/>
        <v>0</v>
      </c>
      <c r="H19" s="12">
        <f t="shared" si="0"/>
        <v>0</v>
      </c>
      <c r="I19" s="12">
        <f t="shared" si="0"/>
        <v>0</v>
      </c>
      <c r="J19" s="12">
        <v>0.46</v>
      </c>
      <c r="K19" s="12">
        <v>0.56000000000000005</v>
      </c>
    </row>
    <row r="24" spans="2:14" x14ac:dyDescent="0.2">
      <c r="B24" s="23" t="s">
        <v>184</v>
      </c>
      <c r="C24" s="12">
        <f>1.14+0.07685</f>
        <v>1.21685</v>
      </c>
      <c r="D24" s="12">
        <v>5</v>
      </c>
      <c r="E24" s="24" t="s">
        <v>152</v>
      </c>
    </row>
    <row r="25" spans="2:14" x14ac:dyDescent="0.2">
      <c r="B25" s="23" t="s">
        <v>185</v>
      </c>
      <c r="C25" s="12">
        <f t="shared" ref="C25:C26" si="1">1.14+0.07685</f>
        <v>1.21685</v>
      </c>
      <c r="D25" s="12">
        <v>5</v>
      </c>
      <c r="E25" s="24" t="s">
        <v>152</v>
      </c>
    </row>
    <row r="26" spans="2:14" x14ac:dyDescent="0.2">
      <c r="B26" s="23" t="s">
        <v>186</v>
      </c>
      <c r="C26" s="12">
        <f t="shared" si="1"/>
        <v>1.21685</v>
      </c>
      <c r="D26" s="12">
        <v>5</v>
      </c>
      <c r="E26" s="24" t="s">
        <v>152</v>
      </c>
    </row>
    <row r="27" spans="2:14" x14ac:dyDescent="0.2">
      <c r="B27" s="23" t="s">
        <v>187</v>
      </c>
      <c r="C27" s="12">
        <f>1.08+0.07685</f>
        <v>1.1568500000000002</v>
      </c>
      <c r="D27" s="12">
        <v>8</v>
      </c>
      <c r="E27" s="24" t="s">
        <v>188</v>
      </c>
    </row>
    <row r="28" spans="2:14" x14ac:dyDescent="0.2">
      <c r="B28" s="23" t="s">
        <v>172</v>
      </c>
      <c r="C28" s="12">
        <f>1.78+0.09169</f>
        <v>1.8716900000000001</v>
      </c>
      <c r="D28" s="12">
        <v>8</v>
      </c>
      <c r="E28" s="24" t="s">
        <v>188</v>
      </c>
    </row>
    <row r="29" spans="2:14" x14ac:dyDescent="0.2">
      <c r="B29" s="23" t="s">
        <v>189</v>
      </c>
      <c r="C29" s="12">
        <v>2.02</v>
      </c>
      <c r="D29" s="12">
        <v>4</v>
      </c>
      <c r="E29" s="24" t="s">
        <v>190</v>
      </c>
    </row>
    <row r="30" spans="2:14" x14ac:dyDescent="0.2">
      <c r="B30" s="23" t="s">
        <v>191</v>
      </c>
      <c r="C30" s="12">
        <v>6.11</v>
      </c>
      <c r="D30" s="12">
        <v>18</v>
      </c>
      <c r="E30" s="24" t="s">
        <v>155</v>
      </c>
    </row>
    <row r="31" spans="2:14" x14ac:dyDescent="0.2">
      <c r="B31" s="23" t="s">
        <v>192</v>
      </c>
      <c r="C31" s="12">
        <v>1.44</v>
      </c>
      <c r="D31" s="12">
        <v>18</v>
      </c>
      <c r="E31" s="24" t="s">
        <v>154</v>
      </c>
      <c r="M31" s="12" t="s">
        <v>149</v>
      </c>
      <c r="N31" s="12">
        <f>ACALC_rd!C8</f>
        <v>5000</v>
      </c>
    </row>
    <row r="32" spans="2:14" x14ac:dyDescent="0.2">
      <c r="B32" s="23" t="s">
        <v>193</v>
      </c>
      <c r="C32" s="12">
        <f>0.81+0.06572</f>
        <v>0.87572000000000005</v>
      </c>
      <c r="D32" s="12">
        <v>3</v>
      </c>
      <c r="E32" s="24" t="s">
        <v>156</v>
      </c>
    </row>
    <row r="33" spans="2:29" x14ac:dyDescent="0.2">
      <c r="M33" s="12" t="s">
        <v>400</v>
      </c>
      <c r="N33" s="12" t="s">
        <v>401</v>
      </c>
      <c r="O33" s="12" t="s">
        <v>402</v>
      </c>
      <c r="P33" s="12" t="s">
        <v>405</v>
      </c>
      <c r="Q33" s="12" t="s">
        <v>160</v>
      </c>
      <c r="R33" s="12" t="s">
        <v>161</v>
      </c>
      <c r="S33" s="12" t="s">
        <v>211</v>
      </c>
      <c r="T33" s="12" t="s">
        <v>163</v>
      </c>
      <c r="V33" s="12" t="s">
        <v>403</v>
      </c>
      <c r="W33" s="12" t="s">
        <v>404</v>
      </c>
      <c r="Y33" s="12" t="s">
        <v>406</v>
      </c>
      <c r="Z33" s="12" t="s">
        <v>140</v>
      </c>
      <c r="AA33" s="12" t="s">
        <v>168</v>
      </c>
      <c r="AB33" s="12" t="s">
        <v>407</v>
      </c>
      <c r="AC33" s="12" t="s">
        <v>408</v>
      </c>
    </row>
    <row r="34" spans="2:29" x14ac:dyDescent="0.2">
      <c r="B34" s="12" t="s">
        <v>399</v>
      </c>
      <c r="M34" s="12" t="str">
        <f>ACALC_rd!C23</f>
        <v>Spule_20H</v>
      </c>
      <c r="N34" s="12">
        <f>VLOOKUP(M34,B35:C36,2,FALSE)</f>
        <v>1.1568500000000002</v>
      </c>
      <c r="O34" s="12">
        <f>VLOOKUP(M34,B35:D36,3,FALSE)</f>
        <v>8</v>
      </c>
      <c r="P34" s="12">
        <f>IF(ACALC_rd!C20&lt;=O34,ACALC_rd!C20,O34)</f>
        <v>2.46</v>
      </c>
      <c r="Q34" s="12" t="str">
        <f>ACALC_rd!C24</f>
        <v>Nein</v>
      </c>
      <c r="R34" s="12" t="str">
        <f>ACALC_rd!C26</f>
        <v>84er</v>
      </c>
      <c r="S34" s="12" t="str">
        <f>ACALC_rd!C27</f>
        <v>Nein</v>
      </c>
      <c r="T34" s="19">
        <f>VLOOKUP(R34,B5:D19,IF(S5="nein",2,3),FALSE)</f>
        <v>30.54</v>
      </c>
      <c r="U34" s="12" t="str">
        <f>VLOOKUP(M34,B35:E36,4,FALSE)</f>
        <v>20H</v>
      </c>
      <c r="V34" s="12">
        <f>VLOOKUP(U34,B41:C45,2,FALSE)</f>
        <v>5</v>
      </c>
      <c r="W34" s="12">
        <f>VLOOKUP(R34,B5:I19,V34,FALSE)</f>
        <v>84</v>
      </c>
      <c r="X34" s="12">
        <f>W34*P34</f>
        <v>206.64</v>
      </c>
      <c r="Y34" s="12">
        <f>ROUNDUP(N31/X34,0)</f>
        <v>25</v>
      </c>
      <c r="Z34" s="353">
        <f>Y34*T34</f>
        <v>763.5</v>
      </c>
      <c r="AA34" s="19">
        <f>IF(Q34="nein",N31/P34*N34,0.75*N31/P34*N34)</f>
        <v>2351.3211382113823</v>
      </c>
      <c r="AB34" s="353">
        <f>AA34+Z34</f>
        <v>3114.8211382113823</v>
      </c>
      <c r="AC34" s="353">
        <f>AB34/N31</f>
        <v>0.62296422764227644</v>
      </c>
    </row>
    <row r="35" spans="2:29" x14ac:dyDescent="0.2">
      <c r="B35" s="12" t="s">
        <v>193</v>
      </c>
      <c r="C35" s="12">
        <f>0.81+0.06572</f>
        <v>0.87572000000000005</v>
      </c>
      <c r="D35" s="12">
        <v>3.5</v>
      </c>
      <c r="E35" s="12" t="s">
        <v>156</v>
      </c>
    </row>
    <row r="36" spans="2:29" x14ac:dyDescent="0.2">
      <c r="B36" s="12" t="s">
        <v>187</v>
      </c>
      <c r="C36" s="12">
        <f>1.08+0.07685</f>
        <v>1.1568500000000002</v>
      </c>
      <c r="D36" s="12">
        <v>8</v>
      </c>
      <c r="E36" s="12" t="s">
        <v>188</v>
      </c>
      <c r="R36" s="12" t="s">
        <v>219</v>
      </c>
      <c r="T36" s="12">
        <f>VLOOKUP(R34,B5:K19,9,FALSE)</f>
        <v>0.16</v>
      </c>
    </row>
    <row r="37" spans="2:29" x14ac:dyDescent="0.2">
      <c r="R37" s="12" t="s">
        <v>220</v>
      </c>
      <c r="T37" s="12">
        <f>IF(S34="Ja",0.1,0)</f>
        <v>0</v>
      </c>
    </row>
    <row r="38" spans="2:29" x14ac:dyDescent="0.2">
      <c r="R38" s="12" t="s">
        <v>21</v>
      </c>
      <c r="T38" s="12">
        <f>T36+T37</f>
        <v>0.16</v>
      </c>
    </row>
    <row r="41" spans="2:29" x14ac:dyDescent="0.2">
      <c r="B41" s="25" t="s">
        <v>152</v>
      </c>
      <c r="C41" s="12">
        <v>4</v>
      </c>
    </row>
    <row r="42" spans="2:29" x14ac:dyDescent="0.2">
      <c r="B42" s="25" t="s">
        <v>188</v>
      </c>
      <c r="C42" s="12">
        <v>5</v>
      </c>
    </row>
    <row r="43" spans="2:29" x14ac:dyDescent="0.2">
      <c r="B43" s="25" t="s">
        <v>154</v>
      </c>
      <c r="C43" s="12">
        <v>6</v>
      </c>
    </row>
    <row r="44" spans="2:29" x14ac:dyDescent="0.2">
      <c r="B44" s="25" t="s">
        <v>155</v>
      </c>
      <c r="C44" s="12">
        <v>7</v>
      </c>
    </row>
    <row r="45" spans="2:29" x14ac:dyDescent="0.2">
      <c r="B45" s="25" t="s">
        <v>156</v>
      </c>
      <c r="C45" s="12">
        <v>8</v>
      </c>
    </row>
    <row r="47" spans="2:29" x14ac:dyDescent="0.2">
      <c r="D47" s="12" t="s">
        <v>308</v>
      </c>
    </row>
    <row r="48" spans="2:29" x14ac:dyDescent="0.2">
      <c r="B48" s="25" t="s">
        <v>306</v>
      </c>
      <c r="C48" s="25">
        <v>2.5</v>
      </c>
      <c r="D48" s="12">
        <f>C48/1500</f>
        <v>1.6666666666666668E-3</v>
      </c>
    </row>
    <row r="49" spans="2:3" x14ac:dyDescent="0.2">
      <c r="B49" s="25" t="s">
        <v>307</v>
      </c>
      <c r="C49" s="25">
        <v>0.08</v>
      </c>
    </row>
    <row r="50" spans="2:3" x14ac:dyDescent="0.2">
      <c r="B50" s="12" t="s">
        <v>313</v>
      </c>
      <c r="C50" s="12">
        <v>600</v>
      </c>
    </row>
    <row r="51" spans="2:3" x14ac:dyDescent="0.2">
      <c r="B51" s="12" t="s">
        <v>309</v>
      </c>
      <c r="C51" s="12">
        <f>IF(ACALC!J23="Nein",0,ACALC!J24)</f>
        <v>0</v>
      </c>
    </row>
    <row r="52" spans="2:3" x14ac:dyDescent="0.2">
      <c r="B52" s="12" t="s">
        <v>310</v>
      </c>
      <c r="C52" s="12">
        <f>2*C49</f>
        <v>0.16</v>
      </c>
    </row>
    <row r="53" spans="2:3" x14ac:dyDescent="0.2">
      <c r="B53" s="12" t="s">
        <v>311</v>
      </c>
      <c r="C53" s="12">
        <f>((C51+20)*D48)/C50</f>
        <v>5.5555555555555551E-5</v>
      </c>
    </row>
  </sheetData>
  <pageMargins left="0.7" right="0.7" top="0.78740157499999996" bottom="0.78740157499999996" header="0.3" footer="0.3"/>
  <legacyDrawing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4">
    <tabColor theme="7" tint="-0.249977111117893"/>
  </sheetPr>
  <dimension ref="B2:J35"/>
  <sheetViews>
    <sheetView workbookViewId="0">
      <selection activeCell="C12" sqref="C12"/>
    </sheetView>
  </sheetViews>
  <sheetFormatPr baseColWidth="10" defaultColWidth="11.42578125" defaultRowHeight="11.25" x14ac:dyDescent="0.2"/>
  <cols>
    <col min="1" max="1" width="1.42578125" style="12" customWidth="1"/>
    <col min="2" max="2" width="26.7109375" style="12" customWidth="1"/>
    <col min="3" max="16384" width="11.42578125" style="12"/>
  </cols>
  <sheetData>
    <row r="2" spans="2:9" x14ac:dyDescent="0.2">
      <c r="B2" s="12" t="s">
        <v>194</v>
      </c>
    </row>
    <row r="5" spans="2:9" x14ac:dyDescent="0.2">
      <c r="B5" s="12" t="s">
        <v>195</v>
      </c>
    </row>
    <row r="6" spans="2:9" x14ac:dyDescent="0.2">
      <c r="C6" s="18" t="s">
        <v>202</v>
      </c>
      <c r="D6" s="18" t="s">
        <v>203</v>
      </c>
      <c r="E6" s="18" t="s">
        <v>204</v>
      </c>
      <c r="F6" s="18" t="s">
        <v>205</v>
      </c>
      <c r="G6" s="18" t="s">
        <v>278</v>
      </c>
      <c r="H6" s="18" t="s">
        <v>288</v>
      </c>
      <c r="I6" s="18" t="s">
        <v>206</v>
      </c>
    </row>
    <row r="7" spans="2:9" x14ac:dyDescent="0.2">
      <c r="B7" s="12" t="s">
        <v>196</v>
      </c>
      <c r="C7" s="18">
        <v>60</v>
      </c>
      <c r="D7" s="18">
        <v>40</v>
      </c>
      <c r="E7" s="18">
        <v>0</v>
      </c>
      <c r="F7" s="18">
        <v>0</v>
      </c>
      <c r="G7" s="18">
        <v>0</v>
      </c>
      <c r="H7" s="18">
        <v>0</v>
      </c>
      <c r="I7" s="12">
        <f>C7/100*$C$32+D7/100*$D$32+E7/100*$E$32+F7/100*$F$32+G7/100*$G$32+H7/100*$H$32</f>
        <v>8.9400000000000013</v>
      </c>
    </row>
    <row r="8" spans="2:9" x14ac:dyDescent="0.2">
      <c r="B8" s="12" t="s">
        <v>198</v>
      </c>
      <c r="C8" s="18">
        <v>63</v>
      </c>
      <c r="D8" s="18">
        <v>37</v>
      </c>
      <c r="E8" s="18">
        <v>0</v>
      </c>
      <c r="F8" s="18">
        <v>0</v>
      </c>
      <c r="G8" s="18">
        <v>0</v>
      </c>
      <c r="H8" s="18">
        <v>0</v>
      </c>
      <c r="I8" s="12">
        <f t="shared" ref="I8:I24" si="0">C8/100*$C$32+D8/100*$D$32+E8/100*$E$32+F8/100*$F$32+G8/100*$G$32+H8/100*$H$32</f>
        <v>8.8170000000000002</v>
      </c>
    </row>
    <row r="9" spans="2:9" x14ac:dyDescent="0.2">
      <c r="B9" s="12" t="s">
        <v>197</v>
      </c>
      <c r="C9" s="18">
        <v>62</v>
      </c>
      <c r="D9" s="18">
        <v>36</v>
      </c>
      <c r="E9" s="18">
        <v>2</v>
      </c>
      <c r="F9" s="18">
        <v>0</v>
      </c>
      <c r="G9" s="18">
        <v>0</v>
      </c>
      <c r="H9" s="18">
        <v>0</v>
      </c>
      <c r="I9" s="12">
        <f t="shared" si="0"/>
        <v>8.8459999999999983</v>
      </c>
    </row>
    <row r="10" spans="2:9" x14ac:dyDescent="0.2">
      <c r="B10" s="12" t="s">
        <v>199</v>
      </c>
      <c r="C10" s="18">
        <v>100</v>
      </c>
      <c r="D10" s="18">
        <v>0</v>
      </c>
      <c r="E10" s="18">
        <v>0</v>
      </c>
      <c r="F10" s="18">
        <v>0</v>
      </c>
      <c r="G10" s="18">
        <v>0</v>
      </c>
      <c r="H10" s="18">
        <v>0</v>
      </c>
      <c r="I10" s="12">
        <f t="shared" si="0"/>
        <v>7.3</v>
      </c>
    </row>
    <row r="11" spans="2:9" x14ac:dyDescent="0.2">
      <c r="B11" s="12" t="s">
        <v>200</v>
      </c>
      <c r="C11" s="18">
        <v>96.5</v>
      </c>
      <c r="D11" s="18">
        <v>0</v>
      </c>
      <c r="E11" s="18">
        <v>3.5</v>
      </c>
      <c r="F11" s="18">
        <v>0</v>
      </c>
      <c r="G11" s="18">
        <v>0</v>
      </c>
      <c r="H11" s="18">
        <v>0</v>
      </c>
      <c r="I11" s="12">
        <f t="shared" si="0"/>
        <v>7.4224999999999994</v>
      </c>
    </row>
    <row r="12" spans="2:9" x14ac:dyDescent="0.2">
      <c r="B12" s="12" t="s">
        <v>277</v>
      </c>
      <c r="C12" s="18">
        <v>96.5</v>
      </c>
      <c r="D12" s="18">
        <v>0</v>
      </c>
      <c r="E12" s="18">
        <v>3</v>
      </c>
      <c r="F12" s="18">
        <v>0.5</v>
      </c>
      <c r="G12" s="18">
        <v>0</v>
      </c>
      <c r="H12" s="18">
        <v>0</v>
      </c>
      <c r="I12" s="12">
        <f t="shared" si="0"/>
        <v>7.4132499999999988</v>
      </c>
    </row>
    <row r="13" spans="2:9" x14ac:dyDescent="0.2">
      <c r="B13" s="12" t="s">
        <v>279</v>
      </c>
      <c r="C13" s="18">
        <v>96.2</v>
      </c>
      <c r="D13" s="18">
        <v>0</v>
      </c>
      <c r="E13" s="18">
        <v>3</v>
      </c>
      <c r="F13" s="18">
        <v>0.8</v>
      </c>
      <c r="G13" s="18">
        <v>0</v>
      </c>
      <c r="H13" s="18">
        <v>0</v>
      </c>
      <c r="I13" s="12">
        <f t="shared" si="0"/>
        <v>7.4182000000000006</v>
      </c>
    </row>
    <row r="14" spans="2:9" x14ac:dyDescent="0.2">
      <c r="B14" s="12" t="s">
        <v>280</v>
      </c>
      <c r="C14" s="18">
        <v>20</v>
      </c>
      <c r="D14" s="18">
        <v>80</v>
      </c>
      <c r="E14" s="18">
        <v>0</v>
      </c>
      <c r="F14" s="18">
        <v>0</v>
      </c>
      <c r="G14" s="18">
        <v>0</v>
      </c>
      <c r="H14" s="18">
        <v>0</v>
      </c>
      <c r="I14" s="12">
        <f t="shared" si="0"/>
        <v>10.580000000000002</v>
      </c>
    </row>
    <row r="15" spans="2:9" x14ac:dyDescent="0.2">
      <c r="B15" s="12" t="s">
        <v>281</v>
      </c>
      <c r="C15" s="18">
        <v>10</v>
      </c>
      <c r="D15" s="18">
        <v>90</v>
      </c>
      <c r="E15" s="18">
        <v>0</v>
      </c>
      <c r="F15" s="18">
        <v>0</v>
      </c>
      <c r="G15" s="18">
        <v>0</v>
      </c>
      <c r="H15" s="18">
        <v>0</v>
      </c>
      <c r="I15" s="12">
        <f t="shared" si="0"/>
        <v>10.99</v>
      </c>
    </row>
    <row r="16" spans="2:9" x14ac:dyDescent="0.2">
      <c r="B16" s="12" t="s">
        <v>282</v>
      </c>
      <c r="C16" s="18">
        <v>62</v>
      </c>
      <c r="D16" s="18">
        <v>0</v>
      </c>
      <c r="E16" s="18">
        <v>0</v>
      </c>
      <c r="F16" s="18">
        <v>0</v>
      </c>
      <c r="G16" s="18">
        <v>38</v>
      </c>
      <c r="H16" s="18">
        <v>0</v>
      </c>
      <c r="I16" s="12">
        <f t="shared" si="0"/>
        <v>8.25</v>
      </c>
    </row>
    <row r="17" spans="2:10" x14ac:dyDescent="0.2">
      <c r="B17" s="12" t="s">
        <v>283</v>
      </c>
      <c r="C17" s="18">
        <v>20</v>
      </c>
      <c r="D17" s="18">
        <v>0</v>
      </c>
      <c r="E17" s="18">
        <v>0</v>
      </c>
      <c r="F17" s="18">
        <v>0</v>
      </c>
      <c r="G17" s="18">
        <v>80</v>
      </c>
      <c r="H17" s="18">
        <v>0</v>
      </c>
      <c r="I17" s="12">
        <f t="shared" si="0"/>
        <v>9.3000000000000007</v>
      </c>
    </row>
    <row r="18" spans="2:10" x14ac:dyDescent="0.2">
      <c r="B18" s="12" t="s">
        <v>284</v>
      </c>
      <c r="C18" s="18">
        <v>60</v>
      </c>
      <c r="D18" s="18">
        <v>0</v>
      </c>
      <c r="E18" s="18">
        <v>2</v>
      </c>
      <c r="F18" s="18">
        <v>0</v>
      </c>
      <c r="G18" s="18">
        <v>38</v>
      </c>
      <c r="H18" s="18">
        <v>0</v>
      </c>
      <c r="I18" s="12">
        <f t="shared" si="0"/>
        <v>8.32</v>
      </c>
    </row>
    <row r="19" spans="2:10" x14ac:dyDescent="0.2">
      <c r="B19" s="12" t="s">
        <v>285</v>
      </c>
      <c r="C19" s="18">
        <v>42</v>
      </c>
      <c r="D19" s="18">
        <v>0</v>
      </c>
      <c r="E19" s="18">
        <v>1</v>
      </c>
      <c r="F19" s="18">
        <v>0</v>
      </c>
      <c r="G19" s="18">
        <v>57</v>
      </c>
      <c r="H19" s="18">
        <v>0</v>
      </c>
      <c r="I19" s="12">
        <f t="shared" si="0"/>
        <v>8.76</v>
      </c>
    </row>
    <row r="20" spans="2:10" x14ac:dyDescent="0.2">
      <c r="B20" s="12" t="s">
        <v>286</v>
      </c>
      <c r="C20" s="18">
        <v>42</v>
      </c>
      <c r="D20" s="18">
        <v>0</v>
      </c>
      <c r="E20" s="18">
        <v>0</v>
      </c>
      <c r="F20" s="18">
        <v>0</v>
      </c>
      <c r="G20" s="18">
        <v>58</v>
      </c>
      <c r="H20" s="18">
        <v>0</v>
      </c>
      <c r="I20" s="12">
        <f t="shared" si="0"/>
        <v>8.75</v>
      </c>
    </row>
    <row r="21" spans="2:10" x14ac:dyDescent="0.2">
      <c r="B21" s="12" t="s">
        <v>287</v>
      </c>
      <c r="C21" s="18">
        <v>0</v>
      </c>
      <c r="D21" s="18">
        <v>0</v>
      </c>
      <c r="E21" s="18">
        <v>100</v>
      </c>
      <c r="F21" s="18">
        <v>0</v>
      </c>
      <c r="G21" s="18">
        <v>0</v>
      </c>
      <c r="H21" s="18">
        <v>0</v>
      </c>
      <c r="I21" s="12">
        <f t="shared" si="0"/>
        <v>10.8</v>
      </c>
    </row>
    <row r="22" spans="2:10" x14ac:dyDescent="0.2">
      <c r="B22" s="12" t="s">
        <v>289</v>
      </c>
      <c r="C22" s="18">
        <v>48</v>
      </c>
      <c r="D22" s="18">
        <v>0</v>
      </c>
      <c r="E22" s="18">
        <v>0</v>
      </c>
      <c r="F22" s="18">
        <v>0</v>
      </c>
      <c r="G22" s="18">
        <v>0</v>
      </c>
      <c r="H22" s="18">
        <v>52</v>
      </c>
      <c r="I22" s="12">
        <f t="shared" si="0"/>
        <v>7.3052000000000001</v>
      </c>
    </row>
    <row r="23" spans="2:10" x14ac:dyDescent="0.2">
      <c r="B23" s="12" t="s">
        <v>201</v>
      </c>
      <c r="C23" s="18">
        <v>0</v>
      </c>
      <c r="D23" s="18">
        <v>0</v>
      </c>
      <c r="E23" s="18">
        <v>0</v>
      </c>
      <c r="F23" s="18">
        <v>0</v>
      </c>
      <c r="G23" s="18">
        <v>0</v>
      </c>
      <c r="H23" s="18">
        <v>0</v>
      </c>
      <c r="I23" s="12">
        <f t="shared" si="0"/>
        <v>0</v>
      </c>
    </row>
    <row r="24" spans="2:10" x14ac:dyDescent="0.2">
      <c r="B24" s="12" t="s">
        <v>295</v>
      </c>
      <c r="C24" s="59">
        <f>ACALC!H14*100</f>
        <v>62</v>
      </c>
      <c r="D24" s="59">
        <f>ACALC!H15*100</f>
        <v>36</v>
      </c>
      <c r="E24" s="59">
        <f>ACALC!H16*100</f>
        <v>2</v>
      </c>
      <c r="F24" s="59">
        <f>ACALC!H17*100</f>
        <v>0</v>
      </c>
      <c r="G24" s="59">
        <f>ACALC!H18*100</f>
        <v>0</v>
      </c>
      <c r="H24" s="59">
        <f>ACALC!H19*100</f>
        <v>0</v>
      </c>
      <c r="I24" s="12">
        <f t="shared" si="0"/>
        <v>8.8459999999999983</v>
      </c>
      <c r="J24" s="95">
        <f>SUM(C24:H24)</f>
        <v>100</v>
      </c>
    </row>
    <row r="25" spans="2:10" x14ac:dyDescent="0.2">
      <c r="C25" s="18"/>
      <c r="D25" s="18"/>
      <c r="E25" s="18"/>
      <c r="F25" s="18"/>
      <c r="G25" s="18"/>
      <c r="H25" s="18"/>
    </row>
    <row r="26" spans="2:10" x14ac:dyDescent="0.2">
      <c r="C26" s="18"/>
      <c r="D26" s="18"/>
      <c r="E26" s="18"/>
      <c r="F26" s="18"/>
      <c r="G26" s="18"/>
      <c r="H26" s="18"/>
    </row>
    <row r="27" spans="2:10" x14ac:dyDescent="0.2">
      <c r="C27" s="18"/>
      <c r="D27" s="18"/>
      <c r="E27" s="18"/>
      <c r="F27" s="18"/>
      <c r="G27" s="18"/>
      <c r="H27" s="18"/>
    </row>
    <row r="28" spans="2:10" x14ac:dyDescent="0.2">
      <c r="C28" s="18"/>
      <c r="D28" s="18"/>
      <c r="E28" s="18"/>
      <c r="F28" s="18"/>
      <c r="G28" s="18"/>
      <c r="H28" s="18"/>
    </row>
    <row r="29" spans="2:10" x14ac:dyDescent="0.2">
      <c r="C29" s="18"/>
      <c r="D29" s="18"/>
      <c r="E29" s="18"/>
      <c r="F29" s="18"/>
      <c r="G29" s="18"/>
      <c r="H29" s="18"/>
    </row>
    <row r="30" spans="2:10" x14ac:dyDescent="0.2">
      <c r="C30" s="18"/>
      <c r="D30" s="18"/>
      <c r="E30" s="18"/>
      <c r="F30" s="18"/>
      <c r="G30" s="18"/>
      <c r="H30" s="18"/>
    </row>
    <row r="31" spans="2:10" x14ac:dyDescent="0.2">
      <c r="C31" s="18"/>
      <c r="D31" s="18"/>
      <c r="E31" s="18"/>
      <c r="F31" s="18"/>
      <c r="G31" s="18"/>
      <c r="H31" s="18"/>
    </row>
    <row r="32" spans="2:10" x14ac:dyDescent="0.2">
      <c r="B32" s="12" t="s">
        <v>206</v>
      </c>
      <c r="C32" s="18">
        <v>7.3</v>
      </c>
      <c r="D32" s="18">
        <v>11.4</v>
      </c>
      <c r="E32" s="18">
        <v>10.8</v>
      </c>
      <c r="F32" s="18">
        <v>8.9499999999999993</v>
      </c>
      <c r="G32" s="18">
        <v>9.8000000000000007</v>
      </c>
      <c r="H32" s="18">
        <v>7.31</v>
      </c>
    </row>
    <row r="34" spans="2:3" x14ac:dyDescent="0.2">
      <c r="B34" s="12" t="s">
        <v>212</v>
      </c>
      <c r="C34" s="12" t="str">
        <f>ACALC!C12</f>
        <v>SnPb 60/40</v>
      </c>
    </row>
    <row r="35" spans="2:3" x14ac:dyDescent="0.2">
      <c r="B35" s="12" t="s">
        <v>213</v>
      </c>
      <c r="C35" s="12">
        <f>VLOOKUP(C34,B7:I24,8,FALSE)</f>
        <v>8.9400000000000013</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6">
    <tabColor theme="5"/>
  </sheetPr>
  <dimension ref="A1:K41"/>
  <sheetViews>
    <sheetView workbookViewId="0">
      <selection activeCell="D41" sqref="D41:D42"/>
    </sheetView>
  </sheetViews>
  <sheetFormatPr baseColWidth="10" defaultRowHeight="12.75" x14ac:dyDescent="0.2"/>
  <cols>
    <col min="1" max="1" width="20" customWidth="1"/>
    <col min="2" max="2" width="13" customWidth="1"/>
    <col min="5" max="5" width="14.42578125" customWidth="1"/>
    <col min="6" max="6" width="13.140625" customWidth="1"/>
    <col min="7" max="7" width="16.7109375" customWidth="1"/>
    <col min="8" max="8" width="14" customWidth="1"/>
    <col min="257" max="257" width="20" customWidth="1"/>
    <col min="258" max="258" width="13" customWidth="1"/>
    <col min="261" max="261" width="14.42578125" customWidth="1"/>
    <col min="262" max="262" width="13.140625" customWidth="1"/>
    <col min="263" max="263" width="16.7109375" customWidth="1"/>
    <col min="264" max="264" width="14" customWidth="1"/>
    <col min="513" max="513" width="20" customWidth="1"/>
    <col min="514" max="514" width="13" customWidth="1"/>
    <col min="517" max="517" width="14.42578125" customWidth="1"/>
    <col min="518" max="518" width="13.140625" customWidth="1"/>
    <col min="519" max="519" width="16.7109375" customWidth="1"/>
    <col min="520" max="520" width="14" customWidth="1"/>
    <col min="769" max="769" width="20" customWidth="1"/>
    <col min="770" max="770" width="13" customWidth="1"/>
    <col min="773" max="773" width="14.42578125" customWidth="1"/>
    <col min="774" max="774" width="13.140625" customWidth="1"/>
    <col min="775" max="775" width="16.7109375" customWidth="1"/>
    <col min="776" max="776" width="14" customWidth="1"/>
    <col min="1025" max="1025" width="20" customWidth="1"/>
    <col min="1026" max="1026" width="13" customWidth="1"/>
    <col min="1029" max="1029" width="14.42578125" customWidth="1"/>
    <col min="1030" max="1030" width="13.140625" customWidth="1"/>
    <col min="1031" max="1031" width="16.7109375" customWidth="1"/>
    <col min="1032" max="1032" width="14" customWidth="1"/>
    <col min="1281" max="1281" width="20" customWidth="1"/>
    <col min="1282" max="1282" width="13" customWidth="1"/>
    <col min="1285" max="1285" width="14.42578125" customWidth="1"/>
    <col min="1286" max="1286" width="13.140625" customWidth="1"/>
    <col min="1287" max="1287" width="16.7109375" customWidth="1"/>
    <col min="1288" max="1288" width="14" customWidth="1"/>
    <col min="1537" max="1537" width="20" customWidth="1"/>
    <col min="1538" max="1538" width="13" customWidth="1"/>
    <col min="1541" max="1541" width="14.42578125" customWidth="1"/>
    <col min="1542" max="1542" width="13.140625" customWidth="1"/>
    <col min="1543" max="1543" width="16.7109375" customWidth="1"/>
    <col min="1544" max="1544" width="14" customWidth="1"/>
    <col min="1793" max="1793" width="20" customWidth="1"/>
    <col min="1794" max="1794" width="13" customWidth="1"/>
    <col min="1797" max="1797" width="14.42578125" customWidth="1"/>
    <col min="1798" max="1798" width="13.140625" customWidth="1"/>
    <col min="1799" max="1799" width="16.7109375" customWidth="1"/>
    <col min="1800" max="1800" width="14" customWidth="1"/>
    <col min="2049" max="2049" width="20" customWidth="1"/>
    <col min="2050" max="2050" width="13" customWidth="1"/>
    <col min="2053" max="2053" width="14.42578125" customWidth="1"/>
    <col min="2054" max="2054" width="13.140625" customWidth="1"/>
    <col min="2055" max="2055" width="16.7109375" customWidth="1"/>
    <col min="2056" max="2056" width="14" customWidth="1"/>
    <col min="2305" max="2305" width="20" customWidth="1"/>
    <col min="2306" max="2306" width="13" customWidth="1"/>
    <col min="2309" max="2309" width="14.42578125" customWidth="1"/>
    <col min="2310" max="2310" width="13.140625" customWidth="1"/>
    <col min="2311" max="2311" width="16.7109375" customWidth="1"/>
    <col min="2312" max="2312" width="14" customWidth="1"/>
    <col min="2561" max="2561" width="20" customWidth="1"/>
    <col min="2562" max="2562" width="13" customWidth="1"/>
    <col min="2565" max="2565" width="14.42578125" customWidth="1"/>
    <col min="2566" max="2566" width="13.140625" customWidth="1"/>
    <col min="2567" max="2567" width="16.7109375" customWidth="1"/>
    <col min="2568" max="2568" width="14" customWidth="1"/>
    <col min="2817" max="2817" width="20" customWidth="1"/>
    <col min="2818" max="2818" width="13" customWidth="1"/>
    <col min="2821" max="2821" width="14.42578125" customWidth="1"/>
    <col min="2822" max="2822" width="13.140625" customWidth="1"/>
    <col min="2823" max="2823" width="16.7109375" customWidth="1"/>
    <col min="2824" max="2824" width="14" customWidth="1"/>
    <col min="3073" max="3073" width="20" customWidth="1"/>
    <col min="3074" max="3074" width="13" customWidth="1"/>
    <col min="3077" max="3077" width="14.42578125" customWidth="1"/>
    <col min="3078" max="3078" width="13.140625" customWidth="1"/>
    <col min="3079" max="3079" width="16.7109375" customWidth="1"/>
    <col min="3080" max="3080" width="14" customWidth="1"/>
    <col min="3329" max="3329" width="20" customWidth="1"/>
    <col min="3330" max="3330" width="13" customWidth="1"/>
    <col min="3333" max="3333" width="14.42578125" customWidth="1"/>
    <col min="3334" max="3334" width="13.140625" customWidth="1"/>
    <col min="3335" max="3335" width="16.7109375" customWidth="1"/>
    <col min="3336" max="3336" width="14" customWidth="1"/>
    <col min="3585" max="3585" width="20" customWidth="1"/>
    <col min="3586" max="3586" width="13" customWidth="1"/>
    <col min="3589" max="3589" width="14.42578125" customWidth="1"/>
    <col min="3590" max="3590" width="13.140625" customWidth="1"/>
    <col min="3591" max="3591" width="16.7109375" customWidth="1"/>
    <col min="3592" max="3592" width="14" customWidth="1"/>
    <col min="3841" max="3841" width="20" customWidth="1"/>
    <col min="3842" max="3842" width="13" customWidth="1"/>
    <col min="3845" max="3845" width="14.42578125" customWidth="1"/>
    <col min="3846" max="3846" width="13.140625" customWidth="1"/>
    <col min="3847" max="3847" width="16.7109375" customWidth="1"/>
    <col min="3848" max="3848" width="14" customWidth="1"/>
    <col min="4097" max="4097" width="20" customWidth="1"/>
    <col min="4098" max="4098" width="13" customWidth="1"/>
    <col min="4101" max="4101" width="14.42578125" customWidth="1"/>
    <col min="4102" max="4102" width="13.140625" customWidth="1"/>
    <col min="4103" max="4103" width="16.7109375" customWidth="1"/>
    <col min="4104" max="4104" width="14" customWidth="1"/>
    <col min="4353" max="4353" width="20" customWidth="1"/>
    <col min="4354" max="4354" width="13" customWidth="1"/>
    <col min="4357" max="4357" width="14.42578125" customWidth="1"/>
    <col min="4358" max="4358" width="13.140625" customWidth="1"/>
    <col min="4359" max="4359" width="16.7109375" customWidth="1"/>
    <col min="4360" max="4360" width="14" customWidth="1"/>
    <col min="4609" max="4609" width="20" customWidth="1"/>
    <col min="4610" max="4610" width="13" customWidth="1"/>
    <col min="4613" max="4613" width="14.42578125" customWidth="1"/>
    <col min="4614" max="4614" width="13.140625" customWidth="1"/>
    <col min="4615" max="4615" width="16.7109375" customWidth="1"/>
    <col min="4616" max="4616" width="14" customWidth="1"/>
    <col min="4865" max="4865" width="20" customWidth="1"/>
    <col min="4866" max="4866" width="13" customWidth="1"/>
    <col min="4869" max="4869" width="14.42578125" customWidth="1"/>
    <col min="4870" max="4870" width="13.140625" customWidth="1"/>
    <col min="4871" max="4871" width="16.7109375" customWidth="1"/>
    <col min="4872" max="4872" width="14" customWidth="1"/>
    <col min="5121" max="5121" width="20" customWidth="1"/>
    <col min="5122" max="5122" width="13" customWidth="1"/>
    <col min="5125" max="5125" width="14.42578125" customWidth="1"/>
    <col min="5126" max="5126" width="13.140625" customWidth="1"/>
    <col min="5127" max="5127" width="16.7109375" customWidth="1"/>
    <col min="5128" max="5128" width="14" customWidth="1"/>
    <col min="5377" max="5377" width="20" customWidth="1"/>
    <col min="5378" max="5378" width="13" customWidth="1"/>
    <col min="5381" max="5381" width="14.42578125" customWidth="1"/>
    <col min="5382" max="5382" width="13.140625" customWidth="1"/>
    <col min="5383" max="5383" width="16.7109375" customWidth="1"/>
    <col min="5384" max="5384" width="14" customWidth="1"/>
    <col min="5633" max="5633" width="20" customWidth="1"/>
    <col min="5634" max="5634" width="13" customWidth="1"/>
    <col min="5637" max="5637" width="14.42578125" customWidth="1"/>
    <col min="5638" max="5638" width="13.140625" customWidth="1"/>
    <col min="5639" max="5639" width="16.7109375" customWidth="1"/>
    <col min="5640" max="5640" width="14" customWidth="1"/>
    <col min="5889" max="5889" width="20" customWidth="1"/>
    <col min="5890" max="5890" width="13" customWidth="1"/>
    <col min="5893" max="5893" width="14.42578125" customWidth="1"/>
    <col min="5894" max="5894" width="13.140625" customWidth="1"/>
    <col min="5895" max="5895" width="16.7109375" customWidth="1"/>
    <col min="5896" max="5896" width="14" customWidth="1"/>
    <col min="6145" max="6145" width="20" customWidth="1"/>
    <col min="6146" max="6146" width="13" customWidth="1"/>
    <col min="6149" max="6149" width="14.42578125" customWidth="1"/>
    <col min="6150" max="6150" width="13.140625" customWidth="1"/>
    <col min="6151" max="6151" width="16.7109375" customWidth="1"/>
    <col min="6152" max="6152" width="14" customWidth="1"/>
    <col min="6401" max="6401" width="20" customWidth="1"/>
    <col min="6402" max="6402" width="13" customWidth="1"/>
    <col min="6405" max="6405" width="14.42578125" customWidth="1"/>
    <col min="6406" max="6406" width="13.140625" customWidth="1"/>
    <col min="6407" max="6407" width="16.7109375" customWidth="1"/>
    <col min="6408" max="6408" width="14" customWidth="1"/>
    <col min="6657" max="6657" width="20" customWidth="1"/>
    <col min="6658" max="6658" width="13" customWidth="1"/>
    <col min="6661" max="6661" width="14.42578125" customWidth="1"/>
    <col min="6662" max="6662" width="13.140625" customWidth="1"/>
    <col min="6663" max="6663" width="16.7109375" customWidth="1"/>
    <col min="6664" max="6664" width="14" customWidth="1"/>
    <col min="6913" max="6913" width="20" customWidth="1"/>
    <col min="6914" max="6914" width="13" customWidth="1"/>
    <col min="6917" max="6917" width="14.42578125" customWidth="1"/>
    <col min="6918" max="6918" width="13.140625" customWidth="1"/>
    <col min="6919" max="6919" width="16.7109375" customWidth="1"/>
    <col min="6920" max="6920" width="14" customWidth="1"/>
    <col min="7169" max="7169" width="20" customWidth="1"/>
    <col min="7170" max="7170" width="13" customWidth="1"/>
    <col min="7173" max="7173" width="14.42578125" customWidth="1"/>
    <col min="7174" max="7174" width="13.140625" customWidth="1"/>
    <col min="7175" max="7175" width="16.7109375" customWidth="1"/>
    <col min="7176" max="7176" width="14" customWidth="1"/>
    <col min="7425" max="7425" width="20" customWidth="1"/>
    <col min="7426" max="7426" width="13" customWidth="1"/>
    <col min="7429" max="7429" width="14.42578125" customWidth="1"/>
    <col min="7430" max="7430" width="13.140625" customWidth="1"/>
    <col min="7431" max="7431" width="16.7109375" customWidth="1"/>
    <col min="7432" max="7432" width="14" customWidth="1"/>
    <col min="7681" max="7681" width="20" customWidth="1"/>
    <col min="7682" max="7682" width="13" customWidth="1"/>
    <col min="7685" max="7685" width="14.42578125" customWidth="1"/>
    <col min="7686" max="7686" width="13.140625" customWidth="1"/>
    <col min="7687" max="7687" width="16.7109375" customWidth="1"/>
    <col min="7688" max="7688" width="14" customWidth="1"/>
    <col min="7937" max="7937" width="20" customWidth="1"/>
    <col min="7938" max="7938" width="13" customWidth="1"/>
    <col min="7941" max="7941" width="14.42578125" customWidth="1"/>
    <col min="7942" max="7942" width="13.140625" customWidth="1"/>
    <col min="7943" max="7943" width="16.7109375" customWidth="1"/>
    <col min="7944" max="7944" width="14" customWidth="1"/>
    <col min="8193" max="8193" width="20" customWidth="1"/>
    <col min="8194" max="8194" width="13" customWidth="1"/>
    <col min="8197" max="8197" width="14.42578125" customWidth="1"/>
    <col min="8198" max="8198" width="13.140625" customWidth="1"/>
    <col min="8199" max="8199" width="16.7109375" customWidth="1"/>
    <col min="8200" max="8200" width="14" customWidth="1"/>
    <col min="8449" max="8449" width="20" customWidth="1"/>
    <col min="8450" max="8450" width="13" customWidth="1"/>
    <col min="8453" max="8453" width="14.42578125" customWidth="1"/>
    <col min="8454" max="8454" width="13.140625" customWidth="1"/>
    <col min="8455" max="8455" width="16.7109375" customWidth="1"/>
    <col min="8456" max="8456" width="14" customWidth="1"/>
    <col min="8705" max="8705" width="20" customWidth="1"/>
    <col min="8706" max="8706" width="13" customWidth="1"/>
    <col min="8709" max="8709" width="14.42578125" customWidth="1"/>
    <col min="8710" max="8710" width="13.140625" customWidth="1"/>
    <col min="8711" max="8711" width="16.7109375" customWidth="1"/>
    <col min="8712" max="8712" width="14" customWidth="1"/>
    <col min="8961" max="8961" width="20" customWidth="1"/>
    <col min="8962" max="8962" width="13" customWidth="1"/>
    <col min="8965" max="8965" width="14.42578125" customWidth="1"/>
    <col min="8966" max="8966" width="13.140625" customWidth="1"/>
    <col min="8967" max="8967" width="16.7109375" customWidth="1"/>
    <col min="8968" max="8968" width="14" customWidth="1"/>
    <col min="9217" max="9217" width="20" customWidth="1"/>
    <col min="9218" max="9218" width="13" customWidth="1"/>
    <col min="9221" max="9221" width="14.42578125" customWidth="1"/>
    <col min="9222" max="9222" width="13.140625" customWidth="1"/>
    <col min="9223" max="9223" width="16.7109375" customWidth="1"/>
    <col min="9224" max="9224" width="14" customWidth="1"/>
    <col min="9473" max="9473" width="20" customWidth="1"/>
    <col min="9474" max="9474" width="13" customWidth="1"/>
    <col min="9477" max="9477" width="14.42578125" customWidth="1"/>
    <col min="9478" max="9478" width="13.140625" customWidth="1"/>
    <col min="9479" max="9479" width="16.7109375" customWidth="1"/>
    <col min="9480" max="9480" width="14" customWidth="1"/>
    <col min="9729" max="9729" width="20" customWidth="1"/>
    <col min="9730" max="9730" width="13" customWidth="1"/>
    <col min="9733" max="9733" width="14.42578125" customWidth="1"/>
    <col min="9734" max="9734" width="13.140625" customWidth="1"/>
    <col min="9735" max="9735" width="16.7109375" customWidth="1"/>
    <col min="9736" max="9736" width="14" customWidth="1"/>
    <col min="9985" max="9985" width="20" customWidth="1"/>
    <col min="9986" max="9986" width="13" customWidth="1"/>
    <col min="9989" max="9989" width="14.42578125" customWidth="1"/>
    <col min="9990" max="9990" width="13.140625" customWidth="1"/>
    <col min="9991" max="9991" width="16.7109375" customWidth="1"/>
    <col min="9992" max="9992" width="14" customWidth="1"/>
    <col min="10241" max="10241" width="20" customWidth="1"/>
    <col min="10242" max="10242" width="13" customWidth="1"/>
    <col min="10245" max="10245" width="14.42578125" customWidth="1"/>
    <col min="10246" max="10246" width="13.140625" customWidth="1"/>
    <col min="10247" max="10247" width="16.7109375" customWidth="1"/>
    <col min="10248" max="10248" width="14" customWidth="1"/>
    <col min="10497" max="10497" width="20" customWidth="1"/>
    <col min="10498" max="10498" width="13" customWidth="1"/>
    <col min="10501" max="10501" width="14.42578125" customWidth="1"/>
    <col min="10502" max="10502" width="13.140625" customWidth="1"/>
    <col min="10503" max="10503" width="16.7109375" customWidth="1"/>
    <col min="10504" max="10504" width="14" customWidth="1"/>
    <col min="10753" max="10753" width="20" customWidth="1"/>
    <col min="10754" max="10754" width="13" customWidth="1"/>
    <col min="10757" max="10757" width="14.42578125" customWidth="1"/>
    <col min="10758" max="10758" width="13.140625" customWidth="1"/>
    <col min="10759" max="10759" width="16.7109375" customWidth="1"/>
    <col min="10760" max="10760" width="14" customWidth="1"/>
    <col min="11009" max="11009" width="20" customWidth="1"/>
    <col min="11010" max="11010" width="13" customWidth="1"/>
    <col min="11013" max="11013" width="14.42578125" customWidth="1"/>
    <col min="11014" max="11014" width="13.140625" customWidth="1"/>
    <col min="11015" max="11015" width="16.7109375" customWidth="1"/>
    <col min="11016" max="11016" width="14" customWidth="1"/>
    <col min="11265" max="11265" width="20" customWidth="1"/>
    <col min="11266" max="11266" width="13" customWidth="1"/>
    <col min="11269" max="11269" width="14.42578125" customWidth="1"/>
    <col min="11270" max="11270" width="13.140625" customWidth="1"/>
    <col min="11271" max="11271" width="16.7109375" customWidth="1"/>
    <col min="11272" max="11272" width="14" customWidth="1"/>
    <col min="11521" max="11521" width="20" customWidth="1"/>
    <col min="11522" max="11522" width="13" customWidth="1"/>
    <col min="11525" max="11525" width="14.42578125" customWidth="1"/>
    <col min="11526" max="11526" width="13.140625" customWidth="1"/>
    <col min="11527" max="11527" width="16.7109375" customWidth="1"/>
    <col min="11528" max="11528" width="14" customWidth="1"/>
    <col min="11777" max="11777" width="20" customWidth="1"/>
    <col min="11778" max="11778" width="13" customWidth="1"/>
    <col min="11781" max="11781" width="14.42578125" customWidth="1"/>
    <col min="11782" max="11782" width="13.140625" customWidth="1"/>
    <col min="11783" max="11783" width="16.7109375" customWidth="1"/>
    <col min="11784" max="11784" width="14" customWidth="1"/>
    <col min="12033" max="12033" width="20" customWidth="1"/>
    <col min="12034" max="12034" width="13" customWidth="1"/>
    <col min="12037" max="12037" width="14.42578125" customWidth="1"/>
    <col min="12038" max="12038" width="13.140625" customWidth="1"/>
    <col min="12039" max="12039" width="16.7109375" customWidth="1"/>
    <col min="12040" max="12040" width="14" customWidth="1"/>
    <col min="12289" max="12289" width="20" customWidth="1"/>
    <col min="12290" max="12290" width="13" customWidth="1"/>
    <col min="12293" max="12293" width="14.42578125" customWidth="1"/>
    <col min="12294" max="12294" width="13.140625" customWidth="1"/>
    <col min="12295" max="12295" width="16.7109375" customWidth="1"/>
    <col min="12296" max="12296" width="14" customWidth="1"/>
    <col min="12545" max="12545" width="20" customWidth="1"/>
    <col min="12546" max="12546" width="13" customWidth="1"/>
    <col min="12549" max="12549" width="14.42578125" customWidth="1"/>
    <col min="12550" max="12550" width="13.140625" customWidth="1"/>
    <col min="12551" max="12551" width="16.7109375" customWidth="1"/>
    <col min="12552" max="12552" width="14" customWidth="1"/>
    <col min="12801" max="12801" width="20" customWidth="1"/>
    <col min="12802" max="12802" width="13" customWidth="1"/>
    <col min="12805" max="12805" width="14.42578125" customWidth="1"/>
    <col min="12806" max="12806" width="13.140625" customWidth="1"/>
    <col min="12807" max="12807" width="16.7109375" customWidth="1"/>
    <col min="12808" max="12808" width="14" customWidth="1"/>
    <col min="13057" max="13057" width="20" customWidth="1"/>
    <col min="13058" max="13058" width="13" customWidth="1"/>
    <col min="13061" max="13061" width="14.42578125" customWidth="1"/>
    <col min="13062" max="13062" width="13.140625" customWidth="1"/>
    <col min="13063" max="13063" width="16.7109375" customWidth="1"/>
    <col min="13064" max="13064" width="14" customWidth="1"/>
    <col min="13313" max="13313" width="20" customWidth="1"/>
    <col min="13314" max="13314" width="13" customWidth="1"/>
    <col min="13317" max="13317" width="14.42578125" customWidth="1"/>
    <col min="13318" max="13318" width="13.140625" customWidth="1"/>
    <col min="13319" max="13319" width="16.7109375" customWidth="1"/>
    <col min="13320" max="13320" width="14" customWidth="1"/>
    <col min="13569" max="13569" width="20" customWidth="1"/>
    <col min="13570" max="13570" width="13" customWidth="1"/>
    <col min="13573" max="13573" width="14.42578125" customWidth="1"/>
    <col min="13574" max="13574" width="13.140625" customWidth="1"/>
    <col min="13575" max="13575" width="16.7109375" customWidth="1"/>
    <col min="13576" max="13576" width="14" customWidth="1"/>
    <col min="13825" max="13825" width="20" customWidth="1"/>
    <col min="13826" max="13826" width="13" customWidth="1"/>
    <col min="13829" max="13829" width="14.42578125" customWidth="1"/>
    <col min="13830" max="13830" width="13.140625" customWidth="1"/>
    <col min="13831" max="13831" width="16.7109375" customWidth="1"/>
    <col min="13832" max="13832" width="14" customWidth="1"/>
    <col min="14081" max="14081" width="20" customWidth="1"/>
    <col min="14082" max="14082" width="13" customWidth="1"/>
    <col min="14085" max="14085" width="14.42578125" customWidth="1"/>
    <col min="14086" max="14086" width="13.140625" customWidth="1"/>
    <col min="14087" max="14087" width="16.7109375" customWidth="1"/>
    <col min="14088" max="14088" width="14" customWidth="1"/>
    <col min="14337" max="14337" width="20" customWidth="1"/>
    <col min="14338" max="14338" width="13" customWidth="1"/>
    <col min="14341" max="14341" width="14.42578125" customWidth="1"/>
    <col min="14342" max="14342" width="13.140625" customWidth="1"/>
    <col min="14343" max="14343" width="16.7109375" customWidth="1"/>
    <col min="14344" max="14344" width="14" customWidth="1"/>
    <col min="14593" max="14593" width="20" customWidth="1"/>
    <col min="14594" max="14594" width="13" customWidth="1"/>
    <col min="14597" max="14597" width="14.42578125" customWidth="1"/>
    <col min="14598" max="14598" width="13.140625" customWidth="1"/>
    <col min="14599" max="14599" width="16.7109375" customWidth="1"/>
    <col min="14600" max="14600" width="14" customWidth="1"/>
    <col min="14849" max="14849" width="20" customWidth="1"/>
    <col min="14850" max="14850" width="13" customWidth="1"/>
    <col min="14853" max="14853" width="14.42578125" customWidth="1"/>
    <col min="14854" max="14854" width="13.140625" customWidth="1"/>
    <col min="14855" max="14855" width="16.7109375" customWidth="1"/>
    <col min="14856" max="14856" width="14" customWidth="1"/>
    <col min="15105" max="15105" width="20" customWidth="1"/>
    <col min="15106" max="15106" width="13" customWidth="1"/>
    <col min="15109" max="15109" width="14.42578125" customWidth="1"/>
    <col min="15110" max="15110" width="13.140625" customWidth="1"/>
    <col min="15111" max="15111" width="16.7109375" customWidth="1"/>
    <col min="15112" max="15112" width="14" customWidth="1"/>
    <col min="15361" max="15361" width="20" customWidth="1"/>
    <col min="15362" max="15362" width="13" customWidth="1"/>
    <col min="15365" max="15365" width="14.42578125" customWidth="1"/>
    <col min="15366" max="15366" width="13.140625" customWidth="1"/>
    <col min="15367" max="15367" width="16.7109375" customWidth="1"/>
    <col min="15368" max="15368" width="14" customWidth="1"/>
    <col min="15617" max="15617" width="20" customWidth="1"/>
    <col min="15618" max="15618" width="13" customWidth="1"/>
    <col min="15621" max="15621" width="14.42578125" customWidth="1"/>
    <col min="15622" max="15622" width="13.140625" customWidth="1"/>
    <col min="15623" max="15623" width="16.7109375" customWidth="1"/>
    <col min="15624" max="15624" width="14" customWidth="1"/>
    <col min="15873" max="15873" width="20" customWidth="1"/>
    <col min="15874" max="15874" width="13" customWidth="1"/>
    <col min="15877" max="15877" width="14.42578125" customWidth="1"/>
    <col min="15878" max="15878" width="13.140625" customWidth="1"/>
    <col min="15879" max="15879" width="16.7109375" customWidth="1"/>
    <col min="15880" max="15880" width="14" customWidth="1"/>
    <col min="16129" max="16129" width="20" customWidth="1"/>
    <col min="16130" max="16130" width="13" customWidth="1"/>
    <col min="16133" max="16133" width="14.42578125" customWidth="1"/>
    <col min="16134" max="16134" width="13.140625" customWidth="1"/>
    <col min="16135" max="16135" width="16.7109375" customWidth="1"/>
    <col min="16136" max="16136" width="14" customWidth="1"/>
  </cols>
  <sheetData>
    <row r="1" spans="1:11" ht="18" customHeight="1" x14ac:dyDescent="0.25">
      <c r="A1" s="212" t="s">
        <v>362</v>
      </c>
      <c r="B1" s="212"/>
      <c r="C1" s="212"/>
      <c r="D1" s="212"/>
      <c r="E1" s="212"/>
      <c r="F1" s="212"/>
      <c r="G1" s="213"/>
      <c r="H1" s="213"/>
      <c r="I1" s="213"/>
    </row>
    <row r="2" spans="1:11" x14ac:dyDescent="0.2">
      <c r="A2" s="214" t="s">
        <v>24</v>
      </c>
      <c r="B2" s="215"/>
      <c r="C2" s="215"/>
      <c r="D2" s="215"/>
      <c r="E2" s="215"/>
      <c r="F2" s="215"/>
    </row>
    <row r="3" spans="1:11" x14ac:dyDescent="0.2">
      <c r="A3" s="216"/>
      <c r="B3" s="216"/>
      <c r="C3" s="216"/>
      <c r="D3" s="216"/>
      <c r="E3" s="216"/>
      <c r="F3" s="216"/>
    </row>
    <row r="4" spans="1:11" ht="15.75" x14ac:dyDescent="0.25">
      <c r="A4" s="217" t="s">
        <v>25</v>
      </c>
      <c r="B4" s="218"/>
      <c r="C4" s="216"/>
      <c r="D4" s="216"/>
      <c r="E4" s="216"/>
      <c r="F4" s="216"/>
    </row>
    <row r="5" spans="1:11" ht="15.75" x14ac:dyDescent="0.25">
      <c r="A5" s="217"/>
      <c r="B5" s="218"/>
      <c r="C5" s="216"/>
      <c r="D5" s="219" t="s">
        <v>26</v>
      </c>
      <c r="E5" s="219" t="s">
        <v>363</v>
      </c>
      <c r="F5" s="220"/>
    </row>
    <row r="6" spans="1:11" x14ac:dyDescent="0.2">
      <c r="A6" s="216"/>
      <c r="B6" s="221" t="str">
        <f>ACALC_rd!C12</f>
        <v>SnPb 60/40</v>
      </c>
      <c r="C6" s="216"/>
      <c r="D6" s="222" t="s">
        <v>364</v>
      </c>
      <c r="E6" s="222"/>
      <c r="F6" s="222"/>
      <c r="G6" s="245"/>
      <c r="H6" s="224"/>
    </row>
    <row r="7" spans="1:11" ht="13.5" thickBot="1" x14ac:dyDescent="0.25">
      <c r="A7" s="218"/>
      <c r="B7" s="226"/>
      <c r="C7" s="222"/>
      <c r="D7" s="226"/>
      <c r="E7" s="226"/>
      <c r="F7" s="226" t="s">
        <v>365</v>
      </c>
      <c r="G7" s="229"/>
      <c r="H7" s="286"/>
      <c r="I7" s="229"/>
    </row>
    <row r="8" spans="1:11" ht="13.5" thickBot="1" x14ac:dyDescent="0.25">
      <c r="A8" s="287" t="s">
        <v>366</v>
      </c>
      <c r="B8" s="288">
        <f>ACALC_rd!C4</f>
        <v>0.32</v>
      </c>
      <c r="C8" s="289" t="s">
        <v>32</v>
      </c>
      <c r="D8" s="290">
        <v>8.9499999999999993</v>
      </c>
      <c r="E8" s="291">
        <f>100*(B8*B8*PI()/4*D8)/(((B8*B8*PI()/4*D8)+((B10/100*D10+B11/100*D11+B12/100*D12+B13/100*D13+B14/100*D14+B15/100*D15)*B9/1000*(B9/1000+B8)*PI())))</f>
        <v>83.607164555992014</v>
      </c>
      <c r="F8" s="292">
        <f>B8*B8/4*PI()*D8</f>
        <v>0.71980170879049332</v>
      </c>
      <c r="G8" s="420" t="s">
        <v>367</v>
      </c>
      <c r="H8" s="293"/>
      <c r="I8" s="229"/>
    </row>
    <row r="9" spans="1:11" ht="13.5" thickBot="1" x14ac:dyDescent="0.25">
      <c r="A9" s="294" t="s">
        <v>37</v>
      </c>
      <c r="B9" s="295">
        <f>ACALC_rd!C17</f>
        <v>15</v>
      </c>
      <c r="C9" s="222" t="s">
        <v>38</v>
      </c>
      <c r="D9" s="233" t="s">
        <v>368</v>
      </c>
      <c r="E9" s="296"/>
      <c r="F9" s="422">
        <f>F8+F16</f>
        <v>0.86093304636403434</v>
      </c>
      <c r="G9" s="421"/>
      <c r="H9" s="229"/>
      <c r="I9" s="229"/>
    </row>
    <row r="10" spans="1:11" x14ac:dyDescent="0.2">
      <c r="A10" s="297" t="s">
        <v>40</v>
      </c>
      <c r="B10" s="298">
        <f>VLOOKUP(B6,Legierungen!B7:I24,2,FALSE)</f>
        <v>60</v>
      </c>
      <c r="C10" s="299" t="s">
        <v>41</v>
      </c>
      <c r="D10" s="300">
        <v>7.3</v>
      </c>
      <c r="E10" s="301">
        <f>B10*((B10/100*D10+B11/100*D11+B12/100*D12+B13/100*D13+B14/100*D14+B15/100*D15)*B9/1000*(B9/1000+B8)*PI())/((B8*B8*PI()/4*D8)+((B10/100*D10+B11/100*D11+B12/100*D12+B13/100*D13+B14/100*D14+B15/100*D15)*B9/1000*(B9/1000+B8)*PI()))</f>
        <v>9.8357012664047883</v>
      </c>
      <c r="F10" s="423"/>
      <c r="G10" s="425">
        <f>1000/F9</f>
        <v>1161.5305095132369</v>
      </c>
      <c r="H10" s="229"/>
      <c r="I10" s="229"/>
    </row>
    <row r="11" spans="1:11" x14ac:dyDescent="0.2">
      <c r="A11" s="302" t="s">
        <v>42</v>
      </c>
      <c r="B11" s="303">
        <f>VLOOKUP(B6,Legierungen!B7:I24,3,FALSE)</f>
        <v>40</v>
      </c>
      <c r="C11" s="242" t="s">
        <v>41</v>
      </c>
      <c r="D11" s="244">
        <v>11.4</v>
      </c>
      <c r="E11" s="304">
        <f>B11*((B10/100*D10+B11/100*D11+B12/100*D12+B13/100*D13+B14/100*D14+B15/100*D15)*B9/1000*(B9/1000+B8)*PI())/((B8*B8*PI()/4*D8)+((B10/100*D10+B11/100*D11+B12/100*D12+B13/100*D13+B14/100*D14+B15/100*D15)*B9/1000*(B9/1000+B8)*PI()))</f>
        <v>6.5571341776031922</v>
      </c>
      <c r="F11" s="423"/>
      <c r="G11" s="426"/>
      <c r="H11" s="229"/>
      <c r="I11" s="229"/>
    </row>
    <row r="12" spans="1:11" x14ac:dyDescent="0.2">
      <c r="A12" s="302" t="s">
        <v>43</v>
      </c>
      <c r="B12" s="303">
        <f>VLOOKUP(B6,Legierungen!B7:I24,4,FALSE)</f>
        <v>0</v>
      </c>
      <c r="C12" s="242" t="s">
        <v>41</v>
      </c>
      <c r="D12" s="244">
        <v>10.5</v>
      </c>
      <c r="E12" s="304">
        <f>B12*((B10/100*D10+B11/100*D11+B12/100*D12+B13/100*D13+B14/100*D14+B15/100*D15)*B9/1000*(B9/1000+B8)*PI())/((B8*B8*PI()/4*D8)+((B10/100*D10+B11/100*D11+B12/100*D12+B13/100*D13+B14/100*D14+B15/100*D15)*B9/1000*(B9/1000+B8)*PI()))</f>
        <v>0</v>
      </c>
      <c r="F12" s="423"/>
      <c r="G12" s="426"/>
      <c r="H12" s="229"/>
      <c r="I12" s="229"/>
    </row>
    <row r="13" spans="1:11" ht="15" x14ac:dyDescent="0.2">
      <c r="A13" s="302" t="s">
        <v>291</v>
      </c>
      <c r="B13" s="303">
        <f>VLOOKUP(B6,Legierungen!B7:I24,7,FALSE)</f>
        <v>0</v>
      </c>
      <c r="C13" s="242" t="s">
        <v>41</v>
      </c>
      <c r="D13" s="244">
        <v>7.31</v>
      </c>
      <c r="E13" s="304">
        <f>B13*((B10/100*D10+B11/100*D11+B12/100*D12+B13/100*D13+B14/100*D14+B15/100*D15)*B9/1000*(B9/1000+B8)*PI())/((B8*B8*PI()/4*D8)+((B10/100*D10+B11/100*D11+B12/100*D12+B13/100*D13+B14/100*D14+B15/100*D15)*B9/1000*(B9/1000+B8)*PI()))</f>
        <v>0</v>
      </c>
      <c r="F13" s="423"/>
      <c r="G13" s="426"/>
      <c r="K13" s="305"/>
    </row>
    <row r="14" spans="1:11" x14ac:dyDescent="0.2">
      <c r="A14" s="302" t="s">
        <v>369</v>
      </c>
      <c r="B14" s="303">
        <f>VLOOKUP(B6,Legierungen!B7:I24,6,FALSE)</f>
        <v>0</v>
      </c>
      <c r="C14" s="242" t="s">
        <v>41</v>
      </c>
      <c r="D14" s="244">
        <v>9.8000000000000007</v>
      </c>
      <c r="E14" s="304">
        <f>B14*((B10/100*D10+B11/100*D11+B12/100*D12+B13/100*D13+B14/100*D14+B15/100*D15)*B9/1000*(B9/1000+B8)*PI())/((B8*B8*PI()/4*D8)+((B10/100*D10+B11/100*D11+B12/100*D12+B13/100*D13+B14/100*D14+B15/100*D15)*B9/1000*(B9/1000+B8)*PI()))</f>
        <v>0</v>
      </c>
      <c r="F14" s="423"/>
      <c r="G14" s="426"/>
    </row>
    <row r="15" spans="1:11" ht="13.5" thickBot="1" x14ac:dyDescent="0.25">
      <c r="A15" s="306" t="s">
        <v>276</v>
      </c>
      <c r="B15" s="307">
        <f>VLOOKUP(B6,Legierungen!B7:I24,5,FALSE)</f>
        <v>0</v>
      </c>
      <c r="C15" s="308" t="s">
        <v>41</v>
      </c>
      <c r="D15" s="309">
        <v>8.9499999999999993</v>
      </c>
      <c r="E15" s="310">
        <f>B15*((B10/100*D10+B11/100*D11+B12/100*D12+B13/100*D13+B14/100*D14+B15/100*D15)*B9/1000*(B9/1000+B8)*PI())/((B8*B8*PI()/4*D8)+((B10/100*D10+B11/100*D11+B12/100*D12+B13/100*D13+B14/100*D14+B15/100*D15)*B9/1000*(B9/1000+B8)*PI()))</f>
        <v>0</v>
      </c>
      <c r="F15" s="424"/>
      <c r="G15" s="427"/>
    </row>
    <row r="16" spans="1:11" ht="13.5" thickBot="1" x14ac:dyDescent="0.25">
      <c r="A16" s="311" t="s">
        <v>370</v>
      </c>
      <c r="B16" s="312">
        <f>SUM(B10:B15)</f>
        <v>100</v>
      </c>
      <c r="C16" s="222"/>
      <c r="D16" s="313">
        <f>(B10*D10+B11*D11+B12*D12+B13*D13+B14*D14+B15*D15)/100</f>
        <v>8.94</v>
      </c>
      <c r="E16" s="314">
        <f>SUM(E8:E15)</f>
        <v>99.999999999999986</v>
      </c>
      <c r="F16" s="315">
        <f>(B8+B9/1000)*B9/1000*PI()*D16</f>
        <v>0.14113133757354107</v>
      </c>
    </row>
    <row r="17" spans="1:9" x14ac:dyDescent="0.2">
      <c r="A17" s="218"/>
      <c r="B17" s="226"/>
      <c r="C17" s="222"/>
      <c r="D17" s="226"/>
      <c r="E17" s="226"/>
      <c r="F17" s="216"/>
    </row>
    <row r="18" spans="1:9" ht="15.75" x14ac:dyDescent="0.25">
      <c r="A18" s="217" t="s">
        <v>45</v>
      </c>
      <c r="F18" s="216"/>
    </row>
    <row r="19" spans="1:9" ht="25.5" x14ac:dyDescent="0.2">
      <c r="A19" s="216"/>
      <c r="B19" s="316" t="s">
        <v>46</v>
      </c>
      <c r="C19" s="316" t="s">
        <v>47</v>
      </c>
      <c r="D19" s="316" t="s">
        <v>48</v>
      </c>
      <c r="E19" s="316" t="s">
        <v>49</v>
      </c>
      <c r="F19" s="316" t="s">
        <v>371</v>
      </c>
      <c r="G19" s="316" t="s">
        <v>372</v>
      </c>
    </row>
    <row r="20" spans="1:9" x14ac:dyDescent="0.2">
      <c r="A20" s="216"/>
      <c r="B20" s="239" t="s">
        <v>50</v>
      </c>
      <c r="C20" s="239" t="s">
        <v>50</v>
      </c>
      <c r="D20" s="239" t="s">
        <v>50</v>
      </c>
      <c r="E20" s="239" t="s">
        <v>50</v>
      </c>
      <c r="F20" s="239" t="s">
        <v>50</v>
      </c>
      <c r="G20" s="239" t="s">
        <v>50</v>
      </c>
    </row>
    <row r="21" spans="1:9" x14ac:dyDescent="0.2">
      <c r="A21" s="222"/>
      <c r="B21" s="222"/>
      <c r="C21" s="216"/>
      <c r="D21" s="216"/>
      <c r="E21" s="216"/>
      <c r="F21" s="216"/>
      <c r="G21" s="216"/>
    </row>
    <row r="22" spans="1:9" x14ac:dyDescent="0.2">
      <c r="A22" s="219"/>
      <c r="B22" s="225">
        <f>ACALC_rd!K17</f>
        <v>9.6649999999999991</v>
      </c>
      <c r="C22" s="225">
        <f>ACALC_rd!K14</f>
        <v>40.424999999999997</v>
      </c>
      <c r="D22" s="225">
        <f>ACALC_rd!K15</f>
        <v>2.3029999999999999</v>
      </c>
      <c r="E22" s="225">
        <f>ACALC_rd!K16</f>
        <v>711.09743999999989</v>
      </c>
      <c r="F22" s="225">
        <f>ACALC_rd!K19</f>
        <v>277.24199999999996</v>
      </c>
      <c r="G22" s="225">
        <f>ACALC_rd!K18</f>
        <v>7.9211999999999998</v>
      </c>
    </row>
    <row r="23" spans="1:9" ht="15" x14ac:dyDescent="0.25">
      <c r="A23" s="216"/>
      <c r="B23" s="428">
        <v>43003</v>
      </c>
      <c r="C23" s="429"/>
      <c r="D23" s="429"/>
      <c r="E23" s="429"/>
      <c r="F23" s="429"/>
      <c r="G23" s="429"/>
      <c r="I23" s="240"/>
    </row>
    <row r="24" spans="1:9" ht="15.75" x14ac:dyDescent="0.25">
      <c r="A24" s="217" t="s">
        <v>52</v>
      </c>
      <c r="D24" s="241">
        <f>ACALC_rd!K20</f>
        <v>1.1315999999999999</v>
      </c>
      <c r="E24" s="216"/>
      <c r="F24" s="216"/>
    </row>
    <row r="25" spans="1:9" x14ac:dyDescent="0.2">
      <c r="A25" s="216"/>
      <c r="D25" s="222"/>
      <c r="E25" s="216"/>
      <c r="F25" s="216"/>
    </row>
    <row r="26" spans="1:9" x14ac:dyDescent="0.2">
      <c r="A26" s="218" t="s">
        <v>54</v>
      </c>
      <c r="D26" s="222"/>
      <c r="E26" s="216"/>
      <c r="F26" s="317" t="s">
        <v>55</v>
      </c>
      <c r="G26" s="318" t="s">
        <v>56</v>
      </c>
      <c r="H26" s="319"/>
    </row>
    <row r="27" spans="1:9" x14ac:dyDescent="0.2">
      <c r="A27" s="218"/>
      <c r="D27" s="222"/>
      <c r="E27" s="216"/>
      <c r="F27" s="320">
        <f>(E11*D22)*0.01/0.75</f>
        <v>0.20134773348026869</v>
      </c>
      <c r="G27" s="320">
        <f>F27/D24</f>
        <v>0.17793189597054498</v>
      </c>
      <c r="H27" s="318" t="s">
        <v>57</v>
      </c>
    </row>
    <row r="28" spans="1:9" x14ac:dyDescent="0.2">
      <c r="A28" s="216"/>
      <c r="B28" s="245" t="s">
        <v>58</v>
      </c>
      <c r="D28" s="245" t="s">
        <v>59</v>
      </c>
      <c r="E28" s="216"/>
      <c r="F28" s="320">
        <f>(E10*C22)*0.01/0.75</f>
        <v>5.3014429825921807</v>
      </c>
      <c r="G28" s="320">
        <f>F28/D24</f>
        <v>4.6849089630542426</v>
      </c>
      <c r="H28" s="318" t="s">
        <v>60</v>
      </c>
    </row>
    <row r="29" spans="1:9" ht="15.75" x14ac:dyDescent="0.25">
      <c r="A29" s="217" t="s">
        <v>61</v>
      </c>
      <c r="B29" s="246">
        <f>+E8*B22*0.01/0.9</f>
        <v>8.9784805048184744</v>
      </c>
      <c r="D29" s="246">
        <f>B29/$D$24</f>
        <v>7.9343235284716105</v>
      </c>
      <c r="E29" s="216"/>
      <c r="F29" s="320">
        <f>(E12*E22)*0.01/0.75</f>
        <v>0</v>
      </c>
      <c r="G29" s="320">
        <f>F29/D24</f>
        <v>0</v>
      </c>
      <c r="H29" s="318" t="s">
        <v>62</v>
      </c>
    </row>
    <row r="30" spans="1:9" ht="15.75" x14ac:dyDescent="0.25">
      <c r="A30" s="217" t="s">
        <v>63</v>
      </c>
      <c r="B30" s="247">
        <f>+(E10*C22+E11*D22+E12*E22+E13*F22+E14*G22+E15*B22)*0.01/0.75</f>
        <v>5.5027907160724494</v>
      </c>
      <c r="D30" s="246">
        <f>B30/$D$24</f>
        <v>4.8628408590247876</v>
      </c>
      <c r="E30" s="216"/>
      <c r="F30" s="320">
        <f>(E13*F22)*0.01/0.75</f>
        <v>0</v>
      </c>
      <c r="G30" s="320">
        <f>F30*D24</f>
        <v>0</v>
      </c>
      <c r="H30" s="318" t="s">
        <v>373</v>
      </c>
    </row>
    <row r="31" spans="1:9" ht="15.75" x14ac:dyDescent="0.25">
      <c r="A31" s="217" t="s">
        <v>64</v>
      </c>
      <c r="B31" s="247">
        <f>+B30+B29</f>
        <v>14.481271220890925</v>
      </c>
      <c r="D31" s="246">
        <f>B31/$D$24</f>
        <v>12.7971643874964</v>
      </c>
      <c r="E31" s="216"/>
      <c r="F31" s="320">
        <f>(E14*G22)*0.01/0.75</f>
        <v>0</v>
      </c>
      <c r="G31" s="320">
        <f>F31*D24</f>
        <v>0</v>
      </c>
      <c r="H31" s="318" t="s">
        <v>374</v>
      </c>
    </row>
    <row r="32" spans="1:9" ht="15.75" x14ac:dyDescent="0.25">
      <c r="A32" s="217"/>
      <c r="B32" s="321"/>
      <c r="D32" s="229"/>
      <c r="E32" s="216"/>
      <c r="F32" s="320">
        <f>E15*B22</f>
        <v>0</v>
      </c>
      <c r="G32" s="320">
        <f>F32*D24</f>
        <v>0</v>
      </c>
      <c r="H32" s="318" t="s">
        <v>61</v>
      </c>
    </row>
    <row r="33" spans="1:8" x14ac:dyDescent="0.2">
      <c r="D33" s="222"/>
      <c r="E33" s="216"/>
      <c r="F33" s="322">
        <f>SUM(F27:F32)</f>
        <v>5.5027907160724494</v>
      </c>
      <c r="G33" s="322">
        <f>SUM(G27:G32)</f>
        <v>4.8628408590247876</v>
      </c>
      <c r="H33" s="319"/>
    </row>
    <row r="34" spans="1:8" x14ac:dyDescent="0.2">
      <c r="A34" s="216"/>
      <c r="D34" s="222"/>
      <c r="E34" s="216"/>
      <c r="F34" s="323"/>
      <c r="G34" s="323"/>
      <c r="H34" s="324"/>
    </row>
    <row r="35" spans="1:8" x14ac:dyDescent="0.2">
      <c r="A35" s="216" t="s">
        <v>65</v>
      </c>
      <c r="C35" s="325"/>
      <c r="F35" s="216"/>
    </row>
    <row r="36" spans="1:8" x14ac:dyDescent="0.2">
      <c r="F36" s="216"/>
    </row>
    <row r="37" spans="1:8" x14ac:dyDescent="0.2">
      <c r="A37" s="325" t="s">
        <v>434</v>
      </c>
      <c r="F37" s="216"/>
    </row>
    <row r="39" spans="1:8" x14ac:dyDescent="0.2">
      <c r="A39" s="325" t="s">
        <v>435</v>
      </c>
      <c r="B39">
        <f>+E8*B22*0.01/0.92</f>
        <v>8.7832961460180723</v>
      </c>
      <c r="D39">
        <f>B39/$D$24</f>
        <v>7.7618382343744017</v>
      </c>
    </row>
    <row r="40" spans="1:8" x14ac:dyDescent="0.2">
      <c r="A40" s="325" t="s">
        <v>436</v>
      </c>
      <c r="B40">
        <f>+(E10*C22+E11*D22+E12*E22+E13*F22+E14*G22+E15*B22)*0.01/0.78</f>
        <v>5.2911449193004314</v>
      </c>
      <c r="D40">
        <f>B40/$D$24</f>
        <v>4.6758085182930644</v>
      </c>
    </row>
    <row r="41" spans="1:8" x14ac:dyDescent="0.2">
      <c r="A41" s="325" t="s">
        <v>64</v>
      </c>
      <c r="B41">
        <f>SUM(B39:B40)</f>
        <v>14.074441065318503</v>
      </c>
      <c r="D41">
        <f>B41/$D$24</f>
        <v>12.437646752667465</v>
      </c>
    </row>
  </sheetData>
  <sheetProtection sheet="1" objects="1" scenarios="1"/>
  <mergeCells count="4">
    <mergeCell ref="G8:G9"/>
    <mergeCell ref="F9:F15"/>
    <mergeCell ref="G10:G15"/>
    <mergeCell ref="B23:G23"/>
  </mergeCells>
  <pageMargins left="0.7" right="0.7" top="0.78740157499999996" bottom="0.78740157499999996" header="0.3" footer="0.3"/>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7">
    <tabColor rgb="FFFFFF00"/>
  </sheetPr>
  <dimension ref="A1:L63"/>
  <sheetViews>
    <sheetView topLeftCell="A12" zoomScale="80" zoomScaleNormal="80" workbookViewId="0">
      <selection activeCell="B47" sqref="B47"/>
    </sheetView>
  </sheetViews>
  <sheetFormatPr baseColWidth="10" defaultRowHeight="12.75" x14ac:dyDescent="0.2"/>
  <cols>
    <col min="1" max="1" width="1.28515625" style="1" customWidth="1"/>
    <col min="2" max="2" width="24.28515625" style="1" customWidth="1"/>
    <col min="3" max="3" width="17.85546875" style="1" customWidth="1"/>
    <col min="4" max="4" width="0.85546875" style="1" customWidth="1"/>
    <col min="5" max="5" width="12.5703125" style="1" customWidth="1"/>
    <col min="6" max="7" width="1.42578125" style="1" customWidth="1"/>
    <col min="8" max="8" width="14.28515625" style="1" customWidth="1"/>
    <col min="9" max="9" width="1" style="1" customWidth="1"/>
    <col min="10" max="10" width="9.140625" style="1" customWidth="1"/>
    <col min="11" max="11" width="10.42578125" style="1" bestFit="1" customWidth="1"/>
    <col min="12" max="12" width="1.42578125" style="1" customWidth="1"/>
  </cols>
  <sheetData>
    <row r="1" spans="1:12" ht="21" x14ac:dyDescent="0.35">
      <c r="A1" s="2"/>
      <c r="B1" s="435" t="s">
        <v>439</v>
      </c>
      <c r="C1" s="435"/>
      <c r="D1" s="435"/>
      <c r="E1" s="435"/>
      <c r="F1" s="435"/>
      <c r="G1" s="435"/>
      <c r="H1" s="435"/>
      <c r="I1" s="435"/>
      <c r="J1" s="435"/>
      <c r="K1" s="435"/>
      <c r="L1" s="2"/>
    </row>
    <row r="2" spans="1:12" ht="13.5" thickBot="1" x14ac:dyDescent="0.25">
      <c r="A2" s="2"/>
      <c r="B2" s="2"/>
      <c r="C2" s="2"/>
      <c r="D2" s="2"/>
      <c r="E2" s="2"/>
      <c r="F2" s="2"/>
      <c r="G2" s="2"/>
      <c r="H2" s="2"/>
      <c r="I2" s="2"/>
      <c r="J2" s="94"/>
      <c r="K2" s="94"/>
      <c r="L2" s="2"/>
    </row>
    <row r="3" spans="1:12" ht="13.5" thickBot="1" x14ac:dyDescent="0.25">
      <c r="A3" s="2"/>
      <c r="B3" s="430" t="s">
        <v>74</v>
      </c>
      <c r="C3" s="431"/>
      <c r="D3" s="2"/>
      <c r="E3" s="430" t="s">
        <v>327</v>
      </c>
      <c r="F3" s="447"/>
      <c r="G3" s="447"/>
      <c r="H3" s="431"/>
      <c r="I3" s="2"/>
      <c r="J3" s="436" t="s">
        <v>303</v>
      </c>
      <c r="K3" s="437"/>
      <c r="L3" s="2"/>
    </row>
    <row r="4" spans="1:12" ht="13.5" thickBot="1" x14ac:dyDescent="0.25">
      <c r="A4" s="2"/>
      <c r="B4" s="113" t="s">
        <v>361</v>
      </c>
      <c r="C4" s="4">
        <v>0.32</v>
      </c>
      <c r="D4" s="112"/>
      <c r="E4" s="448"/>
      <c r="F4" s="449"/>
      <c r="G4" s="449"/>
      <c r="H4" s="450"/>
      <c r="I4" s="2"/>
      <c r="J4" s="438">
        <f ca="1">TODAY()</f>
        <v>44641</v>
      </c>
      <c r="K4" s="439"/>
      <c r="L4" s="2"/>
    </row>
    <row r="5" spans="1:12" ht="13.5" thickBot="1" x14ac:dyDescent="0.25">
      <c r="A5" s="2"/>
      <c r="B5" s="2"/>
      <c r="C5" s="119"/>
      <c r="D5" s="112"/>
      <c r="E5" s="451"/>
      <c r="F5" s="452"/>
      <c r="G5" s="452"/>
      <c r="H5" s="453"/>
      <c r="I5" s="2"/>
      <c r="J5" s="440" t="str">
        <f ca="1">Arbeitsplan!B139</f>
        <v>Q1 2022</v>
      </c>
      <c r="K5" s="441"/>
      <c r="L5" s="2"/>
    </row>
    <row r="6" spans="1:12" ht="13.5" thickBot="1" x14ac:dyDescent="0.25">
      <c r="A6" s="2"/>
      <c r="B6" s="115" t="s">
        <v>393</v>
      </c>
      <c r="C6" s="351" t="s">
        <v>449</v>
      </c>
      <c r="D6" s="2"/>
      <c r="E6" s="2"/>
      <c r="F6" s="2"/>
      <c r="G6" s="2"/>
      <c r="H6" s="2"/>
      <c r="I6" s="2"/>
      <c r="J6" s="94"/>
      <c r="K6" s="94"/>
      <c r="L6" s="2"/>
    </row>
    <row r="7" spans="1:12" ht="13.5" thickBot="1" x14ac:dyDescent="0.25">
      <c r="A7" s="2"/>
      <c r="B7" s="2"/>
      <c r="C7" s="114"/>
      <c r="D7" s="112"/>
      <c r="E7" s="2"/>
      <c r="F7" s="2"/>
      <c r="G7" s="442" t="str">
        <f>IF(J12="Daily","Heutige Metallpreise unter Metallhistorie eingeben!","METALLPREIS LETZTER MONAT FEHLT!!!")</f>
        <v>Heutige Metallpreise unter Metallhistorie eingeben!</v>
      </c>
      <c r="H7" s="442"/>
      <c r="I7" s="442"/>
      <c r="J7" s="442"/>
      <c r="K7" s="442"/>
      <c r="L7" s="2"/>
    </row>
    <row r="8" spans="1:12" ht="13.5" thickBot="1" x14ac:dyDescent="0.25">
      <c r="A8" s="2"/>
      <c r="B8" s="115" t="s">
        <v>77</v>
      </c>
      <c r="C8" s="5">
        <v>5000</v>
      </c>
      <c r="D8" s="112"/>
      <c r="E8" s="400" t="s">
        <v>444</v>
      </c>
      <c r="F8" s="2"/>
      <c r="G8" s="442"/>
      <c r="H8" s="442"/>
      <c r="I8" s="442"/>
      <c r="J8" s="442"/>
      <c r="K8" s="442"/>
      <c r="L8" s="2"/>
    </row>
    <row r="9" spans="1:12" ht="13.5" thickBot="1" x14ac:dyDescent="0.25">
      <c r="A9" s="2"/>
      <c r="B9" s="2"/>
      <c r="C9" s="401">
        <f>Arbeitsplan_rd!L85</f>
        <v>1161.5305095132369</v>
      </c>
      <c r="D9" s="112"/>
      <c r="E9" s="2"/>
      <c r="F9" s="2"/>
      <c r="G9" s="2"/>
      <c r="H9" s="2"/>
      <c r="I9" s="2"/>
      <c r="J9" s="94"/>
      <c r="K9" s="94"/>
      <c r="L9" s="2"/>
    </row>
    <row r="10" spans="1:12" ht="13.5" thickBot="1" x14ac:dyDescent="0.25">
      <c r="A10" s="2"/>
      <c r="B10" s="115" t="s">
        <v>78</v>
      </c>
      <c r="C10" s="98">
        <v>7</v>
      </c>
      <c r="D10" s="117"/>
      <c r="E10" s="118">
        <f>IF(E8="€/m",C10*Arbeitsplan_rd!K85,Arbeitsplan_rd!K85*C10*1000)</f>
        <v>6.026531324548241</v>
      </c>
      <c r="F10" s="2"/>
      <c r="G10" s="2"/>
      <c r="H10" s="2"/>
      <c r="I10" s="2"/>
      <c r="J10" s="443" t="s">
        <v>302</v>
      </c>
      <c r="K10" s="444"/>
      <c r="L10" s="2"/>
    </row>
    <row r="11" spans="1:12" ht="13.5" thickBot="1" x14ac:dyDescent="0.25">
      <c r="A11" s="2"/>
      <c r="B11" s="2"/>
      <c r="C11" s="119"/>
      <c r="D11" s="2"/>
      <c r="E11" s="2"/>
      <c r="F11" s="2"/>
      <c r="G11" s="2"/>
      <c r="H11" s="2"/>
      <c r="I11" s="2"/>
      <c r="J11" s="445"/>
      <c r="K11" s="446"/>
      <c r="L11" s="2"/>
    </row>
    <row r="12" spans="1:12" ht="13.5" thickBot="1" x14ac:dyDescent="0.25">
      <c r="A12" s="2"/>
      <c r="B12" s="115" t="s">
        <v>79</v>
      </c>
      <c r="C12" s="6" t="s">
        <v>196</v>
      </c>
      <c r="D12" s="2"/>
      <c r="E12" s="120" t="s">
        <v>296</v>
      </c>
      <c r="F12" s="121"/>
      <c r="G12" s="121"/>
      <c r="H12" s="122" t="s">
        <v>294</v>
      </c>
      <c r="I12" s="2"/>
      <c r="J12" s="455" t="s">
        <v>351</v>
      </c>
      <c r="K12" s="456"/>
      <c r="L12" s="2"/>
    </row>
    <row r="13" spans="1:12" ht="13.5" thickBot="1" x14ac:dyDescent="0.25">
      <c r="A13" s="2"/>
      <c r="B13" s="2"/>
      <c r="C13" s="2"/>
      <c r="D13" s="2"/>
      <c r="E13" s="94"/>
      <c r="F13" s="2"/>
      <c r="G13" s="2"/>
      <c r="H13" s="2"/>
      <c r="I13" s="2"/>
      <c r="J13" s="94"/>
      <c r="K13" s="94"/>
      <c r="L13" s="2"/>
    </row>
    <row r="14" spans="1:12" ht="13.5" thickBot="1" x14ac:dyDescent="0.25">
      <c r="A14" s="2"/>
      <c r="B14" s="430" t="s">
        <v>82</v>
      </c>
      <c r="C14" s="431"/>
      <c r="D14" s="2"/>
      <c r="E14" s="123" t="s">
        <v>202</v>
      </c>
      <c r="F14" s="2"/>
      <c r="G14" s="2"/>
      <c r="H14" s="124">
        <v>0.62</v>
      </c>
      <c r="I14" s="2"/>
      <c r="J14" s="123" t="s">
        <v>202</v>
      </c>
      <c r="K14" s="263">
        <f>HLOOKUP(J12,Metallhistorie!U72:X79,2,FALSE)</f>
        <v>40.424999999999997</v>
      </c>
      <c r="L14" s="2"/>
    </row>
    <row r="15" spans="1:12" ht="13.5" thickBot="1" x14ac:dyDescent="0.25">
      <c r="A15" s="2"/>
      <c r="B15" s="111" t="s">
        <v>80</v>
      </c>
      <c r="C15" s="7">
        <v>10</v>
      </c>
      <c r="D15" s="2"/>
      <c r="E15" s="123" t="s">
        <v>203</v>
      </c>
      <c r="F15" s="2"/>
      <c r="G15" s="2"/>
      <c r="H15" s="124">
        <v>0.36</v>
      </c>
      <c r="I15" s="2"/>
      <c r="J15" s="123" t="s">
        <v>203</v>
      </c>
      <c r="K15" s="263">
        <f>HLOOKUP(J12,Metallhistorie!U72:X79,3,FALSE)</f>
        <v>2.3029999999999999</v>
      </c>
      <c r="L15" s="2"/>
    </row>
    <row r="16" spans="1:12" ht="13.5" thickBot="1" x14ac:dyDescent="0.25">
      <c r="A16" s="2"/>
      <c r="B16" s="113" t="s">
        <v>81</v>
      </c>
      <c r="C16" s="8">
        <v>20</v>
      </c>
      <c r="D16" s="2"/>
      <c r="E16" s="123" t="s">
        <v>204</v>
      </c>
      <c r="F16" s="2"/>
      <c r="G16" s="2"/>
      <c r="H16" s="124">
        <v>0.02</v>
      </c>
      <c r="I16" s="2"/>
      <c r="J16" s="123" t="s">
        <v>204</v>
      </c>
      <c r="K16" s="263">
        <f>HLOOKUP(J12,Metallhistorie!U72:X79,4,FALSE)</f>
        <v>711.09743999999989</v>
      </c>
      <c r="L16" s="2"/>
    </row>
    <row r="17" spans="1:12" ht="13.5" thickBot="1" x14ac:dyDescent="0.25">
      <c r="A17" s="2"/>
      <c r="B17" s="113" t="s">
        <v>391</v>
      </c>
      <c r="C17" s="8">
        <f>AVERAGE(C15:C16)</f>
        <v>15</v>
      </c>
      <c r="D17" s="2"/>
      <c r="E17" s="123" t="s">
        <v>205</v>
      </c>
      <c r="F17" s="2"/>
      <c r="G17" s="2"/>
      <c r="H17" s="124">
        <v>0</v>
      </c>
      <c r="I17" s="2"/>
      <c r="J17" s="123" t="s">
        <v>205</v>
      </c>
      <c r="K17" s="263">
        <f>HLOOKUP(J12,Metallhistorie!U72:X79,5,FALSE)</f>
        <v>9.6649999999999991</v>
      </c>
      <c r="L17" s="2"/>
    </row>
    <row r="18" spans="1:12" ht="13.5" thickBot="1" x14ac:dyDescent="0.25">
      <c r="A18" s="2"/>
      <c r="B18" s="125"/>
      <c r="C18" s="125"/>
      <c r="D18" s="2"/>
      <c r="E18" s="123" t="s">
        <v>278</v>
      </c>
      <c r="F18" s="2"/>
      <c r="G18" s="2"/>
      <c r="H18" s="124">
        <v>0</v>
      </c>
      <c r="I18" s="2"/>
      <c r="J18" s="123" t="s">
        <v>278</v>
      </c>
      <c r="K18" s="263">
        <f>HLOOKUP(J12,Metallhistorie!U72:X79,6,FALSE)</f>
        <v>7.9211999999999998</v>
      </c>
      <c r="L18" s="2"/>
    </row>
    <row r="19" spans="1:12" ht="13.5" thickBot="1" x14ac:dyDescent="0.25">
      <c r="A19" s="2"/>
      <c r="B19" s="127"/>
      <c r="C19" s="127"/>
      <c r="D19" s="2"/>
      <c r="E19" s="123" t="s">
        <v>288</v>
      </c>
      <c r="F19" s="2"/>
      <c r="G19" s="2"/>
      <c r="H19" s="124">
        <v>0</v>
      </c>
      <c r="I19" s="2"/>
      <c r="J19" s="123" t="s">
        <v>288</v>
      </c>
      <c r="K19" s="263">
        <f>HLOOKUP(J12,Metallhistorie!U72:X79,7,FALSE)</f>
        <v>277.24199999999996</v>
      </c>
      <c r="L19" s="2"/>
    </row>
    <row r="20" spans="1:12" ht="13.5" thickBot="1" x14ac:dyDescent="0.25">
      <c r="A20" s="2"/>
      <c r="B20" s="115" t="s">
        <v>396</v>
      </c>
      <c r="C20" s="5">
        <v>2.46</v>
      </c>
      <c r="D20" s="2"/>
      <c r="E20" s="2"/>
      <c r="F20" s="2"/>
      <c r="G20" s="2"/>
      <c r="H20" s="2"/>
      <c r="I20" s="2"/>
      <c r="J20" s="123" t="s">
        <v>323</v>
      </c>
      <c r="K20" s="263">
        <f>HLOOKUP(J12,Metallhistorie!U72:X79,8,FALSE)</f>
        <v>1.1315999999999999</v>
      </c>
      <c r="L20" s="94"/>
    </row>
    <row r="21" spans="1:12" ht="13.5" thickBot="1" x14ac:dyDescent="0.25">
      <c r="A21" s="2"/>
      <c r="B21" s="2"/>
      <c r="C21" s="2"/>
      <c r="D21" s="2"/>
      <c r="E21" s="2"/>
      <c r="F21" s="2"/>
      <c r="G21" s="2"/>
      <c r="H21" s="2"/>
      <c r="I21" s="2"/>
      <c r="J21" s="94"/>
      <c r="K21" s="94"/>
      <c r="L21" s="94"/>
    </row>
    <row r="22" spans="1:12" x14ac:dyDescent="0.2">
      <c r="A22" s="2"/>
      <c r="B22" s="430" t="s">
        <v>208</v>
      </c>
      <c r="C22" s="431"/>
      <c r="D22" s="2"/>
      <c r="E22" s="432" t="s">
        <v>93</v>
      </c>
      <c r="F22" s="433"/>
      <c r="G22" s="433"/>
      <c r="H22" s="434"/>
      <c r="I22" s="94"/>
      <c r="J22" s="457"/>
      <c r="K22" s="457"/>
      <c r="L22" s="94"/>
    </row>
    <row r="23" spans="1:12" x14ac:dyDescent="0.2">
      <c r="A23" s="2"/>
      <c r="B23" s="111" t="s">
        <v>157</v>
      </c>
      <c r="C23" s="7" t="s">
        <v>187</v>
      </c>
      <c r="D23" s="2"/>
      <c r="E23" s="111" t="s">
        <v>90</v>
      </c>
      <c r="F23" s="129"/>
      <c r="G23" s="130"/>
      <c r="H23" s="100">
        <v>0.25</v>
      </c>
      <c r="I23" s="96"/>
      <c r="J23" s="458"/>
      <c r="K23" s="458"/>
      <c r="L23" s="96"/>
    </row>
    <row r="24" spans="1:12" ht="13.5" thickBot="1" x14ac:dyDescent="0.25">
      <c r="A24" s="2"/>
      <c r="B24" s="113" t="s">
        <v>160</v>
      </c>
      <c r="C24" s="8" t="s">
        <v>207</v>
      </c>
      <c r="D24" s="2"/>
      <c r="E24" s="111" t="s">
        <v>91</v>
      </c>
      <c r="F24" s="129"/>
      <c r="G24" s="130"/>
      <c r="H24" s="100">
        <v>0</v>
      </c>
      <c r="I24" s="96"/>
      <c r="J24" s="459"/>
      <c r="K24" s="459"/>
      <c r="L24" s="96"/>
    </row>
    <row r="25" spans="1:12" x14ac:dyDescent="0.2">
      <c r="A25" s="2"/>
      <c r="B25" s="430" t="s">
        <v>209</v>
      </c>
      <c r="C25" s="431"/>
      <c r="D25" s="2"/>
      <c r="E25" s="111" t="s">
        <v>92</v>
      </c>
      <c r="F25" s="129"/>
      <c r="G25" s="130"/>
      <c r="H25" s="100">
        <v>0</v>
      </c>
      <c r="I25" s="96"/>
      <c r="J25" s="460"/>
      <c r="K25" s="460"/>
      <c r="L25" s="96"/>
    </row>
    <row r="26" spans="1:12" ht="13.5" thickBot="1" x14ac:dyDescent="0.25">
      <c r="A26" s="2"/>
      <c r="B26" s="111" t="s">
        <v>210</v>
      </c>
      <c r="C26" s="7" t="s">
        <v>173</v>
      </c>
      <c r="D26" s="2"/>
      <c r="E26" s="113" t="s">
        <v>108</v>
      </c>
      <c r="F26" s="131"/>
      <c r="G26" s="132"/>
      <c r="H26" s="101">
        <v>1.1787000000000001</v>
      </c>
      <c r="I26" s="96"/>
      <c r="J26" s="94"/>
      <c r="K26" s="94"/>
      <c r="L26" s="96"/>
    </row>
    <row r="27" spans="1:12" ht="13.5" thickBot="1" x14ac:dyDescent="0.25">
      <c r="A27" s="2"/>
      <c r="B27" s="113" t="s">
        <v>211</v>
      </c>
      <c r="C27" s="8" t="s">
        <v>207</v>
      </c>
      <c r="D27" s="2"/>
      <c r="E27" s="135"/>
      <c r="F27" s="135"/>
      <c r="G27" s="94"/>
      <c r="H27" s="135"/>
      <c r="I27" s="96"/>
      <c r="J27" s="457"/>
      <c r="K27" s="457"/>
      <c r="L27" s="96"/>
    </row>
    <row r="28" spans="1:12" x14ac:dyDescent="0.2">
      <c r="A28" s="2"/>
      <c r="B28" s="111" t="s">
        <v>246</v>
      </c>
      <c r="C28" s="11">
        <v>0</v>
      </c>
      <c r="D28" s="2"/>
      <c r="E28" s="2"/>
      <c r="F28" s="2"/>
      <c r="G28" s="2"/>
      <c r="H28" s="2"/>
      <c r="I28" s="2"/>
      <c r="J28" s="454"/>
      <c r="K28" s="454"/>
      <c r="L28" s="94"/>
    </row>
    <row r="29" spans="1:12" x14ac:dyDescent="0.2">
      <c r="A29" s="2"/>
      <c r="B29" s="2"/>
      <c r="C29" s="2"/>
      <c r="D29" s="2"/>
      <c r="E29" s="136"/>
      <c r="F29" s="136"/>
      <c r="G29" s="2"/>
      <c r="H29" s="2"/>
      <c r="I29" s="2"/>
      <c r="J29" s="94"/>
      <c r="K29" s="94"/>
      <c r="L29" s="94"/>
    </row>
    <row r="30" spans="1:12" ht="13.5" thickBot="1" x14ac:dyDescent="0.25">
      <c r="A30" s="2"/>
      <c r="B30" s="2"/>
      <c r="C30" s="2"/>
      <c r="D30" s="2"/>
      <c r="E30" s="136"/>
      <c r="F30" s="136"/>
      <c r="G30" s="2"/>
      <c r="H30" s="2"/>
      <c r="I30" s="2"/>
      <c r="J30" s="94"/>
      <c r="K30" s="94"/>
      <c r="L30" s="2"/>
    </row>
    <row r="31" spans="1:12" ht="13.5" thickBot="1" x14ac:dyDescent="0.25">
      <c r="A31" s="2"/>
      <c r="B31" s="137" t="s">
        <v>83</v>
      </c>
      <c r="C31" s="116" t="s">
        <v>56</v>
      </c>
      <c r="D31" s="2"/>
      <c r="E31" s="138" t="s">
        <v>94</v>
      </c>
      <c r="F31" s="136"/>
      <c r="G31" s="2"/>
      <c r="H31" s="116" t="str">
        <f>E8</f>
        <v>€/km</v>
      </c>
      <c r="I31" s="2"/>
      <c r="J31" s="457"/>
      <c r="K31" s="457"/>
      <c r="L31" s="2"/>
    </row>
    <row r="32" spans="1:12" x14ac:dyDescent="0.2">
      <c r="A32" s="2"/>
      <c r="B32" s="139"/>
      <c r="C32" s="140"/>
      <c r="D32" s="2"/>
      <c r="E32" s="141"/>
      <c r="F32" s="142"/>
      <c r="G32" s="2"/>
      <c r="H32" s="140"/>
      <c r="I32" s="2"/>
      <c r="J32" s="454"/>
      <c r="K32" s="454"/>
      <c r="L32" s="2"/>
    </row>
    <row r="33" spans="1:12" x14ac:dyDescent="0.2">
      <c r="A33" s="2"/>
      <c r="B33" s="143" t="s">
        <v>84</v>
      </c>
      <c r="C33" s="373">
        <f>IF(Verpackung!X34=0,"Falsche VPE",Arbeitsplan_rd!E35)</f>
        <v>1.1176410713828082</v>
      </c>
      <c r="D33" s="2"/>
      <c r="E33" s="145">
        <f t="shared" ref="E33:E39" si="0">C33*$H$26</f>
        <v>1.3173635308389162</v>
      </c>
      <c r="F33" s="142"/>
      <c r="G33" s="2"/>
      <c r="H33" s="146">
        <f>IF($E$8="€/m",C33*Arbeitsplan_rd!$K$85,C33*Arbeitsplan_rd!$K$85*1000)</f>
        <v>0.96221413232716424</v>
      </c>
      <c r="I33" s="2"/>
      <c r="J33" s="454"/>
      <c r="K33" s="454"/>
      <c r="L33" s="2"/>
    </row>
    <row r="34" spans="1:12" x14ac:dyDescent="0.2">
      <c r="A34" s="2"/>
      <c r="B34" s="143" t="s">
        <v>85</v>
      </c>
      <c r="C34" s="373">
        <f>IF(Verpackung!X34=0,"Falsche VPE",Arbeitsplan_rd!F35)</f>
        <v>2.1278414874738449</v>
      </c>
      <c r="D34" s="2"/>
      <c r="E34" s="145">
        <f t="shared" si="0"/>
        <v>2.5080867612854214</v>
      </c>
      <c r="F34" s="142"/>
      <c r="G34" s="2"/>
      <c r="H34" s="146">
        <f>IF($E$8="€/m",C34*Arbeitsplan_rd!$K$85,C34*Arbeitsplan_rd!$K$85*1000)</f>
        <v>1.8319290539906357</v>
      </c>
      <c r="I34" s="2"/>
      <c r="J34" s="94"/>
      <c r="K34" s="94"/>
      <c r="L34" s="2"/>
    </row>
    <row r="35" spans="1:12" x14ac:dyDescent="0.2">
      <c r="A35" s="2"/>
      <c r="B35" s="143" t="s">
        <v>298</v>
      </c>
      <c r="C35" s="373">
        <f>IF(Verpackung!X34=0,"Falsche VPE",Arbeitsplan_rd!D35)</f>
        <v>0.62296422764227644</v>
      </c>
      <c r="D35" s="2"/>
      <c r="E35" s="145">
        <f t="shared" si="0"/>
        <v>0.73428793512195134</v>
      </c>
      <c r="F35" s="142"/>
      <c r="G35" s="2"/>
      <c r="H35" s="146">
        <f>IF($E$8="€/m",C35*Arbeitsplan_rd!$K$85,C35*Arbeitsplan_rd!$K$85*1000)</f>
        <v>0.53633049027988289</v>
      </c>
      <c r="I35" s="2"/>
      <c r="J35" s="457"/>
      <c r="K35" s="457"/>
      <c r="L35" s="2"/>
    </row>
    <row r="36" spans="1:12" x14ac:dyDescent="0.2">
      <c r="A36" s="2"/>
      <c r="B36" s="147" t="s">
        <v>299</v>
      </c>
      <c r="C36" s="148">
        <f>IF(Verpackung!X34=0,"Falsche VPE",Arbeitsplan_rd!H46)</f>
        <v>0.5629748603741398</v>
      </c>
      <c r="D36" s="2"/>
      <c r="E36" s="145">
        <f t="shared" si="0"/>
        <v>0.66357846792299857</v>
      </c>
      <c r="F36" s="142"/>
      <c r="G36" s="2"/>
      <c r="H36" s="149">
        <f>IF($E$8="€/m",C36*Arbeitsplan_rd!$K$85,C36*Arbeitsplan_rd!$K$85*1000)</f>
        <v>0.48468366156827508</v>
      </c>
      <c r="I36" s="2"/>
      <c r="J36" s="454"/>
      <c r="K36" s="454"/>
      <c r="L36" s="2"/>
    </row>
    <row r="37" spans="1:12" ht="13.5" thickBot="1" x14ac:dyDescent="0.25">
      <c r="A37" s="2"/>
      <c r="B37" s="150" t="s">
        <v>86</v>
      </c>
      <c r="C37" s="151">
        <f>IF(Verpackung!X34=0,"Falsche VPE",(C33+C35+C36+C34))</f>
        <v>4.4314216468730692</v>
      </c>
      <c r="D37" s="2"/>
      <c r="E37" s="152">
        <f t="shared" si="0"/>
        <v>5.2233166951692871</v>
      </c>
      <c r="F37" s="153"/>
      <c r="G37" s="2"/>
      <c r="H37" s="154">
        <f>IF($E$8="€/m",C37*Arbeitsplan_rd!$K$85,C37*Arbeitsplan_rd!$K$85*1000)</f>
        <v>3.8151573381659576</v>
      </c>
      <c r="I37" s="2"/>
      <c r="J37" s="94"/>
      <c r="K37" s="379"/>
      <c r="L37" s="2"/>
    </row>
    <row r="38" spans="1:12" ht="14.25" thickTop="1" thickBot="1" x14ac:dyDescent="0.25">
      <c r="A38" s="2"/>
      <c r="B38" s="160" t="s">
        <v>429</v>
      </c>
      <c r="C38" s="161">
        <f>IF(Verpackung!X34=0,"Falsche VPE",Arbeitsplan_rd!H39)</f>
        <v>1.1599999999999999</v>
      </c>
      <c r="D38" s="2"/>
      <c r="E38" s="162">
        <f t="shared" si="0"/>
        <v>1.367292</v>
      </c>
      <c r="F38" s="153"/>
      <c r="G38" s="2"/>
      <c r="H38" s="164">
        <f>IF($E$8="€/m",C38*Arbeitsplan_rd!$K$85,C38*Arbeitsplan_rd!$K$85*1000)</f>
        <v>0.99868233378227989</v>
      </c>
      <c r="I38" s="2"/>
      <c r="J38" s="94"/>
      <c r="K38" s="379"/>
      <c r="L38" s="2"/>
    </row>
    <row r="39" spans="1:12" ht="14.25" thickTop="1" thickBot="1" x14ac:dyDescent="0.25">
      <c r="A39" s="2"/>
      <c r="B39" s="156" t="s">
        <v>103</v>
      </c>
      <c r="C39" s="157">
        <f>IF(Verpackung!X34=0,"Falsche VPE",Arbeitsplan_rd!H43)</f>
        <v>12.437646752667465</v>
      </c>
      <c r="D39" s="2"/>
      <c r="E39" s="158">
        <f t="shared" si="0"/>
        <v>14.660254227369142</v>
      </c>
      <c r="F39" s="153"/>
      <c r="G39" s="2"/>
      <c r="H39" s="159">
        <f>IF($E$8="€/m",C39*Arbeitsplan_rd!$K$85,C39*Arbeitsplan_rd!$K$85*1000)</f>
        <v>10.70798110837374</v>
      </c>
      <c r="I39" s="2"/>
      <c r="J39" s="94"/>
      <c r="K39" s="379"/>
      <c r="L39" s="2"/>
    </row>
    <row r="40" spans="1:12" x14ac:dyDescent="0.2">
      <c r="A40" s="2"/>
      <c r="B40" s="160" t="s">
        <v>104</v>
      </c>
      <c r="C40" s="161">
        <f>IF(Verpackung!X34=0,"Falsche VPE",(C57-(C37+C39)))</f>
        <v>2.9280959879558637</v>
      </c>
      <c r="D40" s="2"/>
      <c r="E40" s="162">
        <f>C40*$H$26</f>
        <v>3.4513467410035767</v>
      </c>
      <c r="F40" s="163"/>
      <c r="G40" s="2"/>
      <c r="H40" s="164">
        <f>IF($E$8="€/m",C40*Arbeitsplan_rd!$K$85,C40*Arbeitsplan_rd!$K$85*1000)</f>
        <v>2.5208945989571485</v>
      </c>
      <c r="I40" s="2"/>
      <c r="J40" s="457"/>
      <c r="K40" s="457"/>
      <c r="L40" s="2"/>
    </row>
    <row r="41" spans="1:12" ht="13.5" thickBot="1" x14ac:dyDescent="0.25">
      <c r="A41" s="2"/>
      <c r="B41" s="160" t="s">
        <v>95</v>
      </c>
      <c r="C41" s="165">
        <f>IF(Verpackung!X34=0,"Falsche VPE",((C57-(C37+C39))/C57))</f>
        <v>0.14790481761141544</v>
      </c>
      <c r="D41" s="2"/>
      <c r="E41" s="166">
        <f>C41</f>
        <v>0.14790481761141544</v>
      </c>
      <c r="F41" s="163"/>
      <c r="G41" s="2"/>
      <c r="H41" s="165">
        <f>C41</f>
        <v>0.14790481761141544</v>
      </c>
      <c r="I41" s="2"/>
      <c r="J41" s="454"/>
      <c r="K41" s="454"/>
      <c r="L41" s="2"/>
    </row>
    <row r="42" spans="1:12" x14ac:dyDescent="0.2">
      <c r="A42" s="2"/>
      <c r="B42" s="139"/>
      <c r="C42" s="140"/>
      <c r="D42" s="2"/>
      <c r="E42" s="167"/>
      <c r="F42" s="142"/>
      <c r="G42" s="2"/>
      <c r="H42" s="168"/>
      <c r="I42" s="2"/>
      <c r="J42" s="94"/>
      <c r="K42" s="94"/>
      <c r="L42" s="2"/>
    </row>
    <row r="43" spans="1:12" x14ac:dyDescent="0.2">
      <c r="A43" s="2"/>
      <c r="B43" s="143" t="s">
        <v>267</v>
      </c>
      <c r="C43" s="144">
        <f>IF(Verpackung!X34=0,"Falsche VPE",(Arbeitsplan_rd!H50+Arbeitsplan_rd!H53+Arbeitsplan_rd!H54))</f>
        <v>0.32792226221867249</v>
      </c>
      <c r="D43" s="2"/>
      <c r="E43" s="145">
        <f t="shared" ref="E43:E49" si="1">C43*$H$26</f>
        <v>0.38652197047714931</v>
      </c>
      <c r="F43" s="142"/>
      <c r="G43" s="2"/>
      <c r="H43" s="146">
        <f>IF($E$8="€/m",C43*Arbeitsplan_rd!$K$85,C43*Arbeitsplan_rd!$K$85*1000)</f>
        <v>0.28231911218250744</v>
      </c>
      <c r="I43" s="2"/>
      <c r="J43" s="380"/>
      <c r="K43" s="380"/>
      <c r="L43" s="2"/>
    </row>
    <row r="44" spans="1:12" x14ac:dyDescent="0.2">
      <c r="A44" s="2"/>
      <c r="B44" s="143" t="s">
        <v>268</v>
      </c>
      <c r="C44" s="144">
        <f>IF(Verpackung!X34=0,"Falsche VPE",Arbeitsplan_rd!H51)</f>
        <v>0</v>
      </c>
      <c r="D44" s="2"/>
      <c r="E44" s="145">
        <f t="shared" si="1"/>
        <v>0</v>
      </c>
      <c r="F44" s="142"/>
      <c r="G44" s="2"/>
      <c r="H44" s="146">
        <f>IF($E$8="€/m",C44*Arbeitsplan_rd!$K$85,C44*Arbeitsplan_rd!$K$85*1000)</f>
        <v>0</v>
      </c>
      <c r="I44" s="2"/>
      <c r="J44" s="380"/>
      <c r="K44" s="380"/>
      <c r="L44" s="2"/>
    </row>
    <row r="45" spans="1:12" x14ac:dyDescent="0.2">
      <c r="A45" s="2"/>
      <c r="B45" s="147" t="s">
        <v>269</v>
      </c>
      <c r="C45" s="148">
        <f>IF(Verpackung!X34=0,"Falsche VPE",Arbeitsplan_rd!H56)</f>
        <v>0.4684183592777082</v>
      </c>
      <c r="D45" s="2"/>
      <c r="E45" s="145">
        <f t="shared" si="1"/>
        <v>0.55212472008063473</v>
      </c>
      <c r="F45" s="142"/>
      <c r="G45" s="2"/>
      <c r="H45" s="146">
        <f>IF($E$8="€/m",C45*Arbeitsplan_rd!$K$85,C45*Arbeitsplan_rd!$K$85*1000)</f>
        <v>0.40327684502580008</v>
      </c>
      <c r="I45" s="2"/>
      <c r="J45" s="380"/>
      <c r="K45" s="380"/>
      <c r="L45" s="2"/>
    </row>
    <row r="46" spans="1:12" ht="13.5" thickBot="1" x14ac:dyDescent="0.25">
      <c r="A46" s="2"/>
      <c r="B46" s="143" t="s">
        <v>107</v>
      </c>
      <c r="C46" s="144">
        <f>IF(Verpackung!X34=0,"Falsche VPE",Arbeitsplan_rd!H58)</f>
        <v>0.79634062149638063</v>
      </c>
      <c r="D46" s="2"/>
      <c r="E46" s="145">
        <f t="shared" si="1"/>
        <v>0.93864669055778394</v>
      </c>
      <c r="F46" s="142"/>
      <c r="G46" s="2"/>
      <c r="H46" s="146">
        <f>IF($E$8="€/m",C46*Arbeitsplan_rd!$K$85,C46*Arbeitsplan_rd!$K$85*1000)</f>
        <v>0.68559595720830746</v>
      </c>
      <c r="I46" s="2"/>
      <c r="J46" s="380"/>
      <c r="K46" s="380"/>
      <c r="L46" s="2"/>
    </row>
    <row r="47" spans="1:12" ht="13.5" thickBot="1" x14ac:dyDescent="0.25">
      <c r="A47" s="2"/>
      <c r="B47" s="171" t="s">
        <v>270</v>
      </c>
      <c r="C47" s="172">
        <f>IF(Verpackung!X34=0,"Falsche VPE",Arbeitsplan_rd!H60)</f>
        <v>18.825409021036915</v>
      </c>
      <c r="D47" s="2"/>
      <c r="E47" s="173">
        <f t="shared" si="1"/>
        <v>22.189509613096213</v>
      </c>
      <c r="F47" s="142"/>
      <c r="G47" s="2"/>
      <c r="H47" s="174">
        <f>IF($E$8="€/m",C47*Arbeitsplan_rd!$K$85,C47*Arbeitsplan_rd!$K$85*1000)</f>
        <v>16.207416737530284</v>
      </c>
      <c r="I47" s="2"/>
      <c r="J47" s="380"/>
      <c r="K47" s="380"/>
      <c r="L47" s="2"/>
    </row>
    <row r="48" spans="1:12" ht="13.5" thickBot="1" x14ac:dyDescent="0.25">
      <c r="A48" s="2"/>
      <c r="B48" s="175" t="s">
        <v>318</v>
      </c>
      <c r="C48" s="176">
        <f>IF(Verpackung!X34=0,"Falsche VPE",Arbeitsplan_rd!H63+Arbeitsplan_rd!H64)</f>
        <v>0.25</v>
      </c>
      <c r="D48" s="2"/>
      <c r="E48" s="177">
        <f t="shared" si="1"/>
        <v>0.29467500000000002</v>
      </c>
      <c r="F48" s="142"/>
      <c r="G48" s="2"/>
      <c r="H48" s="178">
        <f>IF($E$8="€/m",C48*Arbeitsplan_rd!$K$85,C48*Arbeitsplan_rd!$K$85*1000)</f>
        <v>0.21523326159100858</v>
      </c>
      <c r="I48" s="2"/>
      <c r="J48" s="380"/>
      <c r="K48" s="380"/>
      <c r="L48" s="2"/>
    </row>
    <row r="49" spans="1:12" ht="13.5" thickBot="1" x14ac:dyDescent="0.25">
      <c r="A49" s="2"/>
      <c r="B49" s="171" t="s">
        <v>271</v>
      </c>
      <c r="C49" s="172">
        <f>IF(Verpackung!X34=0,"Falsche VPE",(C47+C48))</f>
        <v>19.075409021036915</v>
      </c>
      <c r="D49" s="2"/>
      <c r="E49" s="179">
        <f t="shared" si="1"/>
        <v>22.484184613096215</v>
      </c>
      <c r="F49" s="142"/>
      <c r="G49" s="2"/>
      <c r="H49" s="174">
        <f>IF($E$8="€/m",C49*Arbeitsplan_rd!$K$85,C49*Arbeitsplan_rd!$K$85*1000)</f>
        <v>16.422649999121294</v>
      </c>
      <c r="I49" s="2"/>
      <c r="J49" s="380"/>
      <c r="K49" s="380"/>
      <c r="L49" s="2"/>
    </row>
    <row r="50" spans="1:12" ht="13.5" thickBot="1" x14ac:dyDescent="0.25">
      <c r="A50" s="2"/>
      <c r="B50" s="180"/>
      <c r="C50" s="181"/>
      <c r="D50" s="2"/>
      <c r="E50" s="167"/>
      <c r="F50" s="142"/>
      <c r="G50" s="2"/>
      <c r="H50" s="182"/>
      <c r="I50" s="2"/>
      <c r="J50" s="380"/>
      <c r="K50" s="380"/>
      <c r="L50" s="2"/>
    </row>
    <row r="51" spans="1:12" ht="13.5" thickBot="1" x14ac:dyDescent="0.25">
      <c r="A51" s="2"/>
      <c r="B51" s="183" t="s">
        <v>272</v>
      </c>
      <c r="C51" s="184">
        <f>IF(Verpackung!X34=0,"Falsche VPE",Arbeitsplan_rd!H69)</f>
        <v>6.75</v>
      </c>
      <c r="D51" s="2"/>
      <c r="E51" s="185">
        <f>C51*$H$26</f>
        <v>7.9562250000000008</v>
      </c>
      <c r="F51" s="142"/>
      <c r="G51" s="2"/>
      <c r="H51" s="186">
        <f>IF($E$8="€/m",C51*Arbeitsplan_rd!$K$85,C51*Arbeitsplan_rd!$K$85*1000)</f>
        <v>5.8112980629572322</v>
      </c>
      <c r="I51" s="2"/>
      <c r="J51" s="457"/>
      <c r="K51" s="457"/>
      <c r="L51" s="2"/>
    </row>
    <row r="52" spans="1:12" ht="13.5" thickBot="1" x14ac:dyDescent="0.25">
      <c r="A52" s="2"/>
      <c r="B52" s="143" t="s">
        <v>300</v>
      </c>
      <c r="C52" s="144">
        <f>IF(Verpackung!X34=0,"Falsche VPE",Arbeitsplan_rd!H63+Arbeitsplan_rd!H64)</f>
        <v>0.25</v>
      </c>
      <c r="D52" s="2"/>
      <c r="E52" s="187">
        <f>C52*$H$26</f>
        <v>0.29467500000000002</v>
      </c>
      <c r="F52" s="142"/>
      <c r="G52" s="2"/>
      <c r="H52" s="146">
        <f>IF($E$8="€/m",C52*Arbeitsplan_rd!$K$85,C52*Arbeitsplan_rd!$K$85*1000)</f>
        <v>0.21523326159100858</v>
      </c>
      <c r="I52" s="2"/>
      <c r="J52" s="462"/>
      <c r="K52" s="462"/>
      <c r="L52" s="2"/>
    </row>
    <row r="53" spans="1:12" x14ac:dyDescent="0.2">
      <c r="A53" s="2"/>
      <c r="B53" s="143" t="s">
        <v>274</v>
      </c>
      <c r="C53" s="144">
        <f>IF(Verpackung!X34=0,"Falsche VPE",Metall_rd!D29)</f>
        <v>7.9343235284716105</v>
      </c>
      <c r="D53" s="2"/>
      <c r="E53" s="187">
        <f>C53*$H$26</f>
        <v>9.3521871430094876</v>
      </c>
      <c r="F53" s="142"/>
      <c r="G53" s="2"/>
      <c r="H53" s="146">
        <f>IF($E$8="€/m",C53*Arbeitsplan_rd!$K$85,C53*Arbeitsplan_rd!$K$85*1000)</f>
        <v>6.8309213262048987</v>
      </c>
      <c r="I53" s="2"/>
      <c r="J53" s="380"/>
      <c r="K53" s="380"/>
      <c r="L53" s="2"/>
    </row>
    <row r="54" spans="1:12" ht="13.5" thickBot="1" x14ac:dyDescent="0.25">
      <c r="A54" s="2"/>
      <c r="B54" s="147" t="s">
        <v>275</v>
      </c>
      <c r="C54" s="148">
        <f>IF(Verpackung!X34=0,"Falsche VPE",Metall_rd!D30)</f>
        <v>4.8628408590247876</v>
      </c>
      <c r="D54" s="2"/>
      <c r="E54" s="177">
        <f>C54*$H$26</f>
        <v>5.7318305205325171</v>
      </c>
      <c r="F54" s="142"/>
      <c r="G54" s="2"/>
      <c r="H54" s="149">
        <f>IF($E$8="€/m",C54*Arbeitsplan_rd!$K$85,C54*Arbeitsplan_rd!$K$85*1000)</f>
        <v>4.1865803947437081</v>
      </c>
      <c r="I54" s="2"/>
      <c r="J54" s="380"/>
      <c r="K54" s="380"/>
      <c r="L54" s="2"/>
    </row>
    <row r="55" spans="1:12" ht="13.5" thickBot="1" x14ac:dyDescent="0.25">
      <c r="A55" s="2"/>
      <c r="B55" s="143" t="s">
        <v>438</v>
      </c>
      <c r="C55" s="161">
        <f>IF(Verpackung!X34=0,"Falsche VPE",C53+C54)</f>
        <v>12.797164387496398</v>
      </c>
      <c r="D55" s="2"/>
      <c r="E55" s="145">
        <f>C55*$H$26</f>
        <v>15.084017663542005</v>
      </c>
      <c r="F55" s="142"/>
      <c r="G55" s="2"/>
      <c r="H55" s="146">
        <f>IF($E$8="€/m",C55*Arbeitsplan_rd!$K$85,C55*Arbeitsplan_rd!$K$85*1000)</f>
        <v>11.017501720948605</v>
      </c>
      <c r="I55" s="2"/>
      <c r="J55" s="380"/>
      <c r="K55" s="380"/>
      <c r="L55" s="2"/>
    </row>
    <row r="56" spans="1:12" ht="13.5" thickBot="1" x14ac:dyDescent="0.25">
      <c r="A56" s="2"/>
      <c r="B56" s="139"/>
      <c r="C56" s="140"/>
      <c r="D56" s="2"/>
      <c r="E56" s="167"/>
      <c r="F56" s="142"/>
      <c r="G56" s="2"/>
      <c r="H56" s="168"/>
      <c r="I56" s="2"/>
      <c r="J56" s="457"/>
      <c r="K56" s="457"/>
      <c r="L56" s="2"/>
    </row>
    <row r="57" spans="1:12" ht="13.5" thickBot="1" x14ac:dyDescent="0.25">
      <c r="A57" s="2"/>
      <c r="B57" s="190" t="s">
        <v>87</v>
      </c>
      <c r="C57" s="191">
        <f>IF(Verpackung!X34=0,"Falsche VPE",(C51+C52+C54+C53))</f>
        <v>19.797164387496398</v>
      </c>
      <c r="D57" s="2"/>
      <c r="E57" s="192">
        <f>C57*$H$26</f>
        <v>23.334917663542004</v>
      </c>
      <c r="F57" s="142"/>
      <c r="G57" s="2"/>
      <c r="H57" s="193">
        <f>IF($E$8="€/m",C57*Arbeitsplan_rd!$K$85,C57*Arbeitsplan_rd!$K$85*1000)</f>
        <v>17.044033045496846</v>
      </c>
      <c r="I57" s="2"/>
      <c r="J57" s="454"/>
      <c r="K57" s="454"/>
      <c r="L57" s="2"/>
    </row>
    <row r="58" spans="1:12" ht="13.5" thickBot="1" x14ac:dyDescent="0.25">
      <c r="A58" s="2"/>
      <c r="B58" s="194"/>
      <c r="C58" s="195"/>
      <c r="D58" s="2"/>
      <c r="E58" s="196"/>
      <c r="F58" s="142"/>
      <c r="G58" s="2"/>
      <c r="H58" s="197"/>
      <c r="I58" s="2"/>
      <c r="J58" s="94"/>
      <c r="K58" s="94"/>
      <c r="L58" s="2"/>
    </row>
    <row r="59" spans="1:12" x14ac:dyDescent="0.2">
      <c r="A59" s="2"/>
      <c r="B59" s="175" t="s">
        <v>88</v>
      </c>
      <c r="C59" s="198">
        <f>IF(Verpackung!X34=0,"Falsche VPE",(C57-C49))</f>
        <v>0.72175536645948313</v>
      </c>
      <c r="D59" s="2"/>
      <c r="E59" s="199">
        <f>C59*$H$26</f>
        <v>0.85073305044579284</v>
      </c>
      <c r="F59" s="200"/>
      <c r="G59" s="2"/>
      <c r="H59" s="201">
        <f>C59*Arbeitsplan!$K$17</f>
        <v>1.4640636340210824E-3</v>
      </c>
      <c r="I59" s="2"/>
      <c r="J59" s="457"/>
      <c r="K59" s="457"/>
      <c r="L59" s="2"/>
    </row>
    <row r="60" spans="1:12" x14ac:dyDescent="0.2">
      <c r="A60" s="2"/>
      <c r="B60" s="143" t="s">
        <v>89</v>
      </c>
      <c r="C60" s="202">
        <f>IF(Verpackung!X34=0,"Falsche VPE",(C59/C57))</f>
        <v>3.645751241603739E-2</v>
      </c>
      <c r="D60" s="203"/>
      <c r="E60" s="202">
        <f>+C60</f>
        <v>3.645751241603739E-2</v>
      </c>
      <c r="F60" s="204"/>
      <c r="G60" s="205"/>
      <c r="H60" s="202">
        <f>C60</f>
        <v>3.645751241603739E-2</v>
      </c>
      <c r="I60" s="2"/>
      <c r="J60" s="454"/>
      <c r="K60" s="454"/>
      <c r="L60" s="2"/>
    </row>
    <row r="61" spans="1:12" ht="13.5" thickBot="1" x14ac:dyDescent="0.25">
      <c r="A61" s="2"/>
      <c r="B61" s="206" t="s">
        <v>326</v>
      </c>
      <c r="C61" s="207">
        <f>IF(Verpackung!X34=0,"Falsche VPE",(C59*C8))</f>
        <v>3608.7768322974157</v>
      </c>
      <c r="D61" s="2"/>
      <c r="E61" s="208">
        <f>C61*$H$26</f>
        <v>4253.6652522289642</v>
      </c>
      <c r="F61" s="209"/>
      <c r="G61" s="2"/>
      <c r="H61" s="207">
        <f>C61</f>
        <v>3608.7768322974157</v>
      </c>
      <c r="I61" s="2"/>
      <c r="J61" s="461"/>
      <c r="K61" s="461"/>
      <c r="L61" s="2"/>
    </row>
    <row r="62" spans="1:12" ht="13.5" thickBot="1" x14ac:dyDescent="0.25">
      <c r="A62" s="2"/>
      <c r="B62" s="210" t="s">
        <v>325</v>
      </c>
      <c r="C62" s="211">
        <f>IF(Verpackung!X34=0,"Falsche VPE",C57*C8)</f>
        <v>98985.821937481989</v>
      </c>
      <c r="D62" s="203"/>
      <c r="E62" s="2"/>
      <c r="F62" s="2"/>
      <c r="G62" s="2"/>
      <c r="H62" s="2"/>
      <c r="I62" s="2"/>
      <c r="J62" s="94"/>
      <c r="K62" s="94"/>
      <c r="L62" s="2"/>
    </row>
    <row r="63" spans="1:12" x14ac:dyDescent="0.2">
      <c r="A63" s="2"/>
      <c r="B63" s="2"/>
      <c r="C63" s="2"/>
      <c r="D63" s="2"/>
      <c r="E63" s="2"/>
      <c r="F63" s="2"/>
      <c r="G63" s="2"/>
      <c r="H63" s="2"/>
      <c r="I63" s="2"/>
      <c r="J63" s="94"/>
      <c r="K63" s="94"/>
      <c r="L63" s="2"/>
    </row>
  </sheetData>
  <mergeCells count="35">
    <mergeCell ref="J59:K59"/>
    <mergeCell ref="J60:K60"/>
    <mergeCell ref="J61:K61"/>
    <mergeCell ref="J40:K40"/>
    <mergeCell ref="J41:K41"/>
    <mergeCell ref="J51:K51"/>
    <mergeCell ref="J52:K52"/>
    <mergeCell ref="J56:K56"/>
    <mergeCell ref="J57:K57"/>
    <mergeCell ref="J36:K36"/>
    <mergeCell ref="J12:K12"/>
    <mergeCell ref="J22:K22"/>
    <mergeCell ref="J23:K23"/>
    <mergeCell ref="J24:K24"/>
    <mergeCell ref="J25:K25"/>
    <mergeCell ref="J27:K27"/>
    <mergeCell ref="J28:K28"/>
    <mergeCell ref="J31:K31"/>
    <mergeCell ref="J32:K32"/>
    <mergeCell ref="J33:K33"/>
    <mergeCell ref="J35:K35"/>
    <mergeCell ref="B14:C14"/>
    <mergeCell ref="B22:C22"/>
    <mergeCell ref="E22:H22"/>
    <mergeCell ref="B25:C25"/>
    <mergeCell ref="B1:K1"/>
    <mergeCell ref="J3:K3"/>
    <mergeCell ref="J4:K4"/>
    <mergeCell ref="J5:K5"/>
    <mergeCell ref="G7:K8"/>
    <mergeCell ref="J10:K11"/>
    <mergeCell ref="B3:C3"/>
    <mergeCell ref="E3:H3"/>
    <mergeCell ref="E4:H4"/>
    <mergeCell ref="E5:H5"/>
  </mergeCells>
  <conditionalFormatting sqref="H59:H61">
    <cfRule type="cellIs" dxfId="41" priority="19" stopIfTrue="1" operator="greaterThan">
      <formula>0</formula>
    </cfRule>
    <cfRule type="cellIs" dxfId="40" priority="20" stopIfTrue="1" operator="lessThan">
      <formula>0</formula>
    </cfRule>
  </conditionalFormatting>
  <conditionalFormatting sqref="C59:C61 E59:F61">
    <cfRule type="cellIs" dxfId="39" priority="21" stopIfTrue="1" operator="greaterThan">
      <formula>0</formula>
    </cfRule>
    <cfRule type="cellIs" dxfId="38" priority="22" stopIfTrue="1" operator="lessThan">
      <formula>0</formula>
    </cfRule>
  </conditionalFormatting>
  <conditionalFormatting sqref="E12:H19">
    <cfRule type="expression" dxfId="37" priority="13">
      <formula>$C$12&lt;&gt;"Manuell"</formula>
    </cfRule>
  </conditionalFormatting>
  <conditionalFormatting sqref="J24:K61">
    <cfRule type="expression" dxfId="36" priority="11">
      <formula>$J$23="Nein"</formula>
    </cfRule>
  </conditionalFormatting>
  <conditionalFormatting sqref="C62 E62:F62">
    <cfRule type="cellIs" dxfId="35" priority="9" stopIfTrue="1" operator="greaterThan">
      <formula>0</formula>
    </cfRule>
    <cfRule type="cellIs" dxfId="34" priority="10" stopIfTrue="1" operator="lessThan">
      <formula>0</formula>
    </cfRule>
  </conditionalFormatting>
  <conditionalFormatting sqref="H62">
    <cfRule type="cellIs" dxfId="33" priority="7" stopIfTrue="1" operator="greaterThan">
      <formula>0</formula>
    </cfRule>
    <cfRule type="cellIs" dxfId="32" priority="8" stopIfTrue="1" operator="lessThan">
      <formula>0</formula>
    </cfRule>
  </conditionalFormatting>
  <conditionalFormatting sqref="J62:K62">
    <cfRule type="expression" dxfId="31" priority="5">
      <formula>$J$23="Nein"</formula>
    </cfRule>
  </conditionalFormatting>
  <conditionalFormatting sqref="H33">
    <cfRule type="expression" dxfId="30" priority="2">
      <formula>$E$8="€/km"</formula>
    </cfRule>
  </conditionalFormatting>
  <conditionalFormatting sqref="H34:H41 H43:H49 H51:H55 H57 E10">
    <cfRule type="expression" dxfId="29" priority="1">
      <formula>$E$8="€/km"</formula>
    </cfRule>
  </conditionalFormatting>
  <dataValidations count="7">
    <dataValidation type="list" allowBlank="1" showInputMessage="1" showErrorMessage="1" sqref="C28" xr:uid="{00000000-0002-0000-0200-000000000000}">
      <formula1>"0,0,045,0,0225,0,12"</formula1>
    </dataValidation>
    <dataValidation type="list" allowBlank="1" showInputMessage="1" showErrorMessage="1" sqref="C24 C27 J23:K23" xr:uid="{00000000-0002-0000-0200-000001000000}">
      <formula1>"Ja,Nein"</formula1>
    </dataValidation>
    <dataValidation allowBlank="1" showInputMessage="1" showErrorMessage="1" error="Keine Maschine ausgewählt" sqref="D12" xr:uid="{00000000-0002-0000-0200-000002000000}"/>
    <dataValidation type="list" allowBlank="1" showInputMessage="1" showErrorMessage="1" error="Keine Maschine ausgewählt" sqref="C13:D13" xr:uid="{00000000-0002-0000-0200-000003000000}">
      <mc:AlternateContent xmlns:x12ac="http://schemas.microsoft.com/office/spreadsheetml/2011/1/ac" xmlns:mc="http://schemas.openxmlformats.org/markup-compatibility/2006">
        <mc:Choice Requires="x12ac">
          <x12ac:list>SnPb37, Sn 100, SnPbAg 62/36/2," SnAg 3,5"</x12ac:list>
        </mc:Choice>
        <mc:Fallback>
          <formula1>"SnPb37, Sn 100, SnPbAg 62/36/2, SnAg 3,5"</formula1>
        </mc:Fallback>
      </mc:AlternateContent>
    </dataValidation>
    <dataValidation type="list" allowBlank="1" showInputMessage="1" showErrorMessage="1" sqref="C6" xr:uid="{00000000-0002-0000-0200-000004000000}">
      <formula1>"MTPVW+UMSPUL, HVZ, HVZ3+UMSP"</formula1>
    </dataValidation>
    <dataValidation type="list" allowBlank="1" showInputMessage="1" showErrorMessage="1" sqref="J12:K12" xr:uid="{00000000-0002-0000-0200-000005000000}">
      <formula1>"3MONTHS AVG, ROLLING 3M AVG, Daily, Preview NextQ"</formula1>
    </dataValidation>
    <dataValidation type="list" allowBlank="1" showInputMessage="1" showErrorMessage="1" sqref="E8" xr:uid="{00000000-0002-0000-0200-000006000000}">
      <formula1>"€/m, €/km"</formula1>
    </dataValidation>
  </dataValidations>
  <pageMargins left="0.7" right="0.7" top="0.78740157499999996" bottom="0.78740157499999996" header="0.3" footer="0.3"/>
  <pageSetup paperSize="9" scale="8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5" id="{115814B1-AE26-42C7-852F-6B90265D1434}">
            <xm:f>Verpackung!$W$5=0</xm:f>
            <x14:dxf>
              <font>
                <color theme="1" tint="0.499984740745262"/>
              </font>
              <fill>
                <patternFill>
                  <bgColor theme="1" tint="0.499984740745262"/>
                </patternFill>
              </fill>
              <border>
                <left/>
                <right/>
                <top/>
                <bottom/>
                <vertical/>
                <horizontal/>
              </border>
            </x14:dxf>
          </x14:cfRule>
          <xm:sqref>E12:H12</xm:sqref>
        </x14:conditionalFormatting>
        <x14:conditionalFormatting xmlns:xm="http://schemas.microsoft.com/office/excel/2006/main">
          <x14:cfRule type="expression" priority="4" id="{B1132DD6-4928-4E69-A4DD-0EB7EF9EEBFE}">
            <xm:f>IF(Metallhistorie!$T$70=0,1,IF($J$12="Daily",1,0))</xm:f>
            <x14:dxf>
              <font>
                <b/>
                <i val="0"/>
                <color theme="0"/>
              </font>
              <fill>
                <patternFill>
                  <bgColor rgb="FFFF0000"/>
                </patternFill>
              </fill>
              <border>
                <left style="thin">
                  <color auto="1"/>
                </left>
                <right style="thin">
                  <color auto="1"/>
                </right>
                <top style="thin">
                  <color auto="1"/>
                </top>
                <bottom style="thin">
                  <color auto="1"/>
                </bottom>
                <vertical/>
                <horizontal/>
              </border>
            </x14:dxf>
          </x14:cfRule>
          <xm:sqref>G7</xm:sqref>
        </x14:conditionalFormatting>
        <x14:conditionalFormatting xmlns:xm="http://schemas.microsoft.com/office/excel/2006/main">
          <x14:cfRule type="expression" priority="18" id="{61B07920-6980-48D0-9EE2-F4A2194264D4}">
            <xm:f>Verpackung!$W$5=0</xm:f>
            <x14:dxf>
              <font>
                <b/>
                <i val="0"/>
                <color theme="0"/>
              </font>
              <fill>
                <patternFill>
                  <bgColor rgb="FFFF0000"/>
                </patternFill>
              </fill>
            </x14:dxf>
          </x14:cfRule>
          <xm:sqref>C26</xm:sqref>
        </x14:conditionalFormatting>
        <x14:conditionalFormatting xmlns:xm="http://schemas.microsoft.com/office/excel/2006/main">
          <x14:cfRule type="expression" priority="17" id="{79F7E43D-3003-428E-8EFF-EE69B46E44C2}">
            <xm:f>Verpackung!$W$5=0</xm:f>
            <x14:dxf>
              <font>
                <color theme="1" tint="0.499984740745262"/>
              </font>
              <fill>
                <patternFill>
                  <bgColor theme="1" tint="0.499984740745262"/>
                </patternFill>
              </fill>
              <border>
                <left/>
                <right/>
                <top/>
                <bottom/>
                <vertical/>
                <horizontal/>
              </border>
            </x14:dxf>
          </x14:cfRule>
          <xm:sqref>E31:H61</xm:sqref>
        </x14:conditionalFormatting>
        <x14:conditionalFormatting xmlns:xm="http://schemas.microsoft.com/office/excel/2006/main">
          <x14:cfRule type="expression" priority="16" id="{F7ECA857-ECFC-4A01-9C82-C3A7B50D9117}">
            <xm:f>Verpackung!$W$5=0</xm:f>
            <x14:dxf>
              <font>
                <color theme="1" tint="0.499984740745262"/>
              </font>
              <fill>
                <patternFill>
                  <bgColor theme="1" tint="0.499984740745262"/>
                </patternFill>
              </fill>
              <border>
                <left/>
                <right/>
                <top/>
                <bottom/>
                <vertical/>
                <horizontal/>
              </border>
            </x14:dxf>
          </x14:cfRule>
          <xm:sqref>E12</xm:sqref>
        </x14:conditionalFormatting>
        <x14:conditionalFormatting xmlns:xm="http://schemas.microsoft.com/office/excel/2006/main">
          <x14:cfRule type="expression" priority="14" id="{5BEC66B2-4504-414A-AD0E-3CEE6505DF71}">
            <xm:f>Legierungen!$J$24&lt;&gt;100</xm:f>
            <x14:dxf>
              <font>
                <b/>
                <i val="0"/>
                <color theme="0"/>
              </font>
              <fill>
                <patternFill>
                  <fgColor rgb="FFFF0000"/>
                  <bgColor rgb="FFFF0000"/>
                </patternFill>
              </fill>
            </x14:dxf>
          </x14:cfRule>
          <xm:sqref>H14:H19</xm:sqref>
        </x14:conditionalFormatting>
        <x14:conditionalFormatting xmlns:xm="http://schemas.microsoft.com/office/excel/2006/main">
          <x14:cfRule type="expression" priority="6" id="{9C67F2DE-CBAF-4A63-80D0-930FCCE03C9F}">
            <xm:f>Verpackung!$W$5=0</xm:f>
            <x14:dxf>
              <font>
                <color theme="1" tint="0.499984740745262"/>
              </font>
              <fill>
                <patternFill>
                  <bgColor theme="1" tint="0.499984740745262"/>
                </patternFill>
              </fill>
              <border>
                <left/>
                <right/>
                <top/>
                <bottom/>
                <vertical/>
                <horizontal/>
              </border>
            </x14:dxf>
          </x14:cfRule>
          <xm:sqref>E62:H62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7000000}">
          <x14:formula1>
            <xm:f>Legierungen!$B$7:$B$24</xm:f>
          </x14:formula1>
          <xm:sqref>C12</xm:sqref>
        </x14:dataValidation>
        <x14:dataValidation type="list" allowBlank="1" showInputMessage="1" showErrorMessage="1" xr:uid="{00000000-0002-0000-0200-000008000000}">
          <x14:formula1>
            <xm:f>Verpackung!$B$5:$B$19</xm:f>
          </x14:formula1>
          <xm:sqref>C26</xm:sqref>
        </x14:dataValidation>
        <x14:dataValidation type="list" allowBlank="1" showInputMessage="1" showErrorMessage="1" xr:uid="{00000000-0002-0000-0200-000009000000}">
          <x14:formula1>
            <xm:f>Verpackung!$B$35:$B$36</xm:f>
          </x14:formula1>
          <xm:sqref>C23</xm:sqref>
        </x14:dataValidation>
        <x14:dataValidation type="decimal" allowBlank="1" showInputMessage="1" showErrorMessage="1" errorTitle="Spulengewicht" error="Spulengewicht zu hoch!" xr:uid="{00000000-0002-0000-0200-00000A000000}">
          <x14:formula1>
            <xm:f>0</xm:f>
          </x14:formula1>
          <x14:formula2>
            <xm:f>Verpackung!O34</xm:f>
          </x14:formula2>
          <xm:sqref>C20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tabColor rgb="FFFFFF00"/>
    <pageSetUpPr fitToPage="1"/>
  </sheetPr>
  <dimension ref="A1:L61"/>
  <sheetViews>
    <sheetView zoomScaleNormal="100" workbookViewId="0">
      <selection activeCell="C10" sqref="C10"/>
    </sheetView>
  </sheetViews>
  <sheetFormatPr baseColWidth="10" defaultColWidth="11.42578125" defaultRowHeight="12.75" x14ac:dyDescent="0.2"/>
  <cols>
    <col min="1" max="1" width="1.28515625" style="1" customWidth="1"/>
    <col min="2" max="2" width="24.28515625" style="1" customWidth="1"/>
    <col min="3" max="3" width="17.85546875" style="1" customWidth="1"/>
    <col min="4" max="4" width="0.85546875" style="1" customWidth="1"/>
    <col min="5" max="5" width="12.5703125" style="1" customWidth="1"/>
    <col min="6" max="7" width="1.42578125" style="1" customWidth="1"/>
    <col min="8" max="8" width="14.28515625" style="1" customWidth="1"/>
    <col min="9" max="9" width="1" style="1" customWidth="1"/>
    <col min="10" max="10" width="9.140625" style="1" customWidth="1"/>
    <col min="11" max="11" width="10.42578125" style="1" bestFit="1" customWidth="1"/>
    <col min="12" max="12" width="1.42578125" style="1" customWidth="1"/>
    <col min="13" max="16384" width="11.42578125" style="1"/>
  </cols>
  <sheetData>
    <row r="1" spans="1:12" ht="28.5" customHeight="1" x14ac:dyDescent="0.35">
      <c r="A1" s="2"/>
      <c r="B1" s="435" t="s">
        <v>360</v>
      </c>
      <c r="C1" s="435"/>
      <c r="D1" s="435"/>
      <c r="E1" s="435"/>
      <c r="F1" s="435"/>
      <c r="G1" s="435"/>
      <c r="H1" s="435"/>
      <c r="I1" s="435"/>
      <c r="J1" s="435"/>
      <c r="K1" s="435"/>
      <c r="L1" s="2"/>
    </row>
    <row r="2" spans="1:12" ht="13.5" thickBot="1" x14ac:dyDescent="0.25">
      <c r="A2" s="2"/>
      <c r="B2" s="2"/>
      <c r="C2" s="2"/>
      <c r="D2" s="2"/>
      <c r="E2" s="2"/>
      <c r="F2" s="2"/>
      <c r="G2" s="2"/>
      <c r="H2" s="2"/>
      <c r="I2" s="2"/>
      <c r="J2" s="94"/>
      <c r="K2" s="94"/>
      <c r="L2" s="2"/>
    </row>
    <row r="3" spans="1:12" ht="13.5" thickBot="1" x14ac:dyDescent="0.25">
      <c r="A3" s="2"/>
      <c r="B3" s="430" t="s">
        <v>74</v>
      </c>
      <c r="C3" s="431"/>
      <c r="D3" s="2"/>
      <c r="E3" s="430" t="s">
        <v>327</v>
      </c>
      <c r="F3" s="447"/>
      <c r="G3" s="447"/>
      <c r="H3" s="431"/>
      <c r="I3" s="2"/>
      <c r="J3" s="436" t="s">
        <v>303</v>
      </c>
      <c r="K3" s="437"/>
      <c r="L3" s="2"/>
    </row>
    <row r="4" spans="1:12" x14ac:dyDescent="0.2">
      <c r="A4" s="2"/>
      <c r="B4" s="111" t="s">
        <v>75</v>
      </c>
      <c r="C4" s="3">
        <v>1</v>
      </c>
      <c r="D4" s="112"/>
      <c r="E4" s="448"/>
      <c r="F4" s="449"/>
      <c r="G4" s="449"/>
      <c r="H4" s="450"/>
      <c r="I4" s="2"/>
      <c r="J4" s="438">
        <f ca="1">TODAY()</f>
        <v>44641</v>
      </c>
      <c r="K4" s="439"/>
      <c r="L4" s="2"/>
    </row>
    <row r="5" spans="1:12" ht="13.5" thickBot="1" x14ac:dyDescent="0.25">
      <c r="A5" s="2"/>
      <c r="B5" s="113" t="s">
        <v>76</v>
      </c>
      <c r="C5" s="4">
        <v>0.2</v>
      </c>
      <c r="D5" s="112"/>
      <c r="E5" s="483"/>
      <c r="F5" s="452"/>
      <c r="G5" s="452"/>
      <c r="H5" s="453"/>
      <c r="I5" s="2"/>
      <c r="J5" s="440" t="str">
        <f ca="1">Arbeitsplan!B139</f>
        <v>Q1 2022</v>
      </c>
      <c r="K5" s="441"/>
      <c r="L5" s="2"/>
    </row>
    <row r="6" spans="1:12" ht="3" customHeight="1" x14ac:dyDescent="0.2">
      <c r="A6" s="2"/>
      <c r="B6" s="2"/>
      <c r="C6" s="119"/>
      <c r="D6" s="2"/>
      <c r="E6" s="2"/>
      <c r="F6" s="2"/>
      <c r="G6" s="2"/>
      <c r="H6" s="2"/>
      <c r="I6" s="2"/>
      <c r="J6" s="94"/>
      <c r="K6" s="94"/>
      <c r="L6" s="2"/>
    </row>
    <row r="7" spans="1:12" ht="13.5" customHeight="1" thickBot="1" x14ac:dyDescent="0.25">
      <c r="A7" s="2"/>
      <c r="B7" s="2"/>
      <c r="C7" s="114">
        <f>Arbeitsplan!L17</f>
        <v>492.98087165594461</v>
      </c>
      <c r="D7" s="112"/>
      <c r="E7" s="2"/>
      <c r="F7" s="2"/>
      <c r="G7" s="442" t="str">
        <f>IF(J12="Daily","Heutige Metallpreise unter Metallhistorie eingeben!","METALLPREIS LETZTER MONAT FEHLT!!!")</f>
        <v>Heutige Metallpreise unter Metallhistorie eingeben!</v>
      </c>
      <c r="H7" s="442"/>
      <c r="I7" s="442"/>
      <c r="J7" s="442"/>
      <c r="K7" s="442"/>
      <c r="L7" s="2"/>
    </row>
    <row r="8" spans="1:12" ht="13.5" thickBot="1" x14ac:dyDescent="0.25">
      <c r="A8" s="2"/>
      <c r="B8" s="115" t="s">
        <v>77</v>
      </c>
      <c r="C8" s="5">
        <v>5000</v>
      </c>
      <c r="D8" s="112"/>
      <c r="E8" s="116" t="s">
        <v>273</v>
      </c>
      <c r="F8" s="2"/>
      <c r="G8" s="442"/>
      <c r="H8" s="442"/>
      <c r="I8" s="442"/>
      <c r="J8" s="442"/>
      <c r="K8" s="442"/>
      <c r="L8" s="2"/>
    </row>
    <row r="9" spans="1:12" ht="3" customHeight="1" thickBot="1" x14ac:dyDescent="0.25">
      <c r="A9" s="2"/>
      <c r="B9" s="2"/>
      <c r="C9" s="112"/>
      <c r="D9" s="112"/>
      <c r="E9" s="2"/>
      <c r="F9" s="2"/>
      <c r="G9" s="2"/>
      <c r="H9" s="2"/>
      <c r="I9" s="2"/>
      <c r="J9" s="94"/>
      <c r="K9" s="94"/>
      <c r="L9" s="2"/>
    </row>
    <row r="10" spans="1:12" ht="13.5" thickBot="1" x14ac:dyDescent="0.25">
      <c r="A10" s="2"/>
      <c r="B10" s="115" t="s">
        <v>78</v>
      </c>
      <c r="C10" s="98">
        <v>4.5</v>
      </c>
      <c r="D10" s="117"/>
      <c r="E10" s="118">
        <f>C10*Arbeitsplan!K17</f>
        <v>9.1281432175741428E-3</v>
      </c>
      <c r="F10" s="2"/>
      <c r="G10" s="2"/>
      <c r="H10" s="2"/>
      <c r="I10" s="2"/>
      <c r="J10" s="443" t="s">
        <v>302</v>
      </c>
      <c r="K10" s="444"/>
      <c r="L10" s="2"/>
    </row>
    <row r="11" spans="1:12" ht="3" customHeight="1" thickBot="1" x14ac:dyDescent="0.25">
      <c r="A11" s="2"/>
      <c r="B11" s="2"/>
      <c r="C11" s="119"/>
      <c r="D11" s="2"/>
      <c r="E11" s="2"/>
      <c r="F11" s="2"/>
      <c r="G11" s="2"/>
      <c r="H11" s="2"/>
      <c r="I11" s="2"/>
      <c r="J11" s="445"/>
      <c r="K11" s="446"/>
      <c r="L11" s="2"/>
    </row>
    <row r="12" spans="1:12" ht="13.5" thickBot="1" x14ac:dyDescent="0.25">
      <c r="A12" s="2"/>
      <c r="B12" s="115" t="s">
        <v>79</v>
      </c>
      <c r="C12" s="6" t="s">
        <v>196</v>
      </c>
      <c r="D12" s="2"/>
      <c r="E12" s="120" t="s">
        <v>296</v>
      </c>
      <c r="F12" s="121"/>
      <c r="G12" s="121"/>
      <c r="H12" s="122" t="s">
        <v>294</v>
      </c>
      <c r="I12" s="2"/>
      <c r="J12" s="455" t="s">
        <v>351</v>
      </c>
      <c r="K12" s="456"/>
      <c r="L12" s="2"/>
    </row>
    <row r="13" spans="1:12" ht="3.75" customHeight="1" thickBot="1" x14ac:dyDescent="0.25">
      <c r="A13" s="2"/>
      <c r="B13" s="2"/>
      <c r="C13" s="2"/>
      <c r="D13" s="2"/>
      <c r="E13" s="94"/>
      <c r="F13" s="2"/>
      <c r="G13" s="2"/>
      <c r="H13" s="2"/>
      <c r="I13" s="2"/>
      <c r="J13" s="94"/>
      <c r="K13" s="94"/>
      <c r="L13" s="2"/>
    </row>
    <row r="14" spans="1:12" ht="13.5" thickBot="1" x14ac:dyDescent="0.25">
      <c r="A14" s="2"/>
      <c r="B14" s="430" t="s">
        <v>82</v>
      </c>
      <c r="C14" s="431"/>
      <c r="D14" s="2"/>
      <c r="E14" s="123" t="s">
        <v>202</v>
      </c>
      <c r="F14" s="2"/>
      <c r="G14" s="2"/>
      <c r="H14" s="124">
        <v>0.62</v>
      </c>
      <c r="I14" s="2"/>
      <c r="J14" s="123" t="s">
        <v>202</v>
      </c>
      <c r="K14" s="263">
        <f>HLOOKUP(J12,Metallhistorie!U72:X79,2,FALSE)</f>
        <v>40.424999999999997</v>
      </c>
      <c r="L14" s="2"/>
    </row>
    <row r="15" spans="1:12" ht="13.5" thickBot="1" x14ac:dyDescent="0.25">
      <c r="A15" s="2"/>
      <c r="B15" s="111" t="s">
        <v>80</v>
      </c>
      <c r="C15" s="7">
        <v>15</v>
      </c>
      <c r="D15" s="2"/>
      <c r="E15" s="123" t="s">
        <v>203</v>
      </c>
      <c r="F15" s="2"/>
      <c r="G15" s="2"/>
      <c r="H15" s="124">
        <v>0.36</v>
      </c>
      <c r="I15" s="2"/>
      <c r="J15" s="123" t="s">
        <v>203</v>
      </c>
      <c r="K15" s="263">
        <f>HLOOKUP(J12,Metallhistorie!U72:X79,3,FALSE)</f>
        <v>2.3029999999999999</v>
      </c>
      <c r="L15" s="2"/>
    </row>
    <row r="16" spans="1:12" ht="13.5" thickBot="1" x14ac:dyDescent="0.25">
      <c r="A16" s="2"/>
      <c r="B16" s="113" t="s">
        <v>81</v>
      </c>
      <c r="C16" s="8">
        <v>25</v>
      </c>
      <c r="D16" s="2"/>
      <c r="E16" s="123" t="s">
        <v>204</v>
      </c>
      <c r="F16" s="2"/>
      <c r="G16" s="2"/>
      <c r="H16" s="124">
        <v>0.02</v>
      </c>
      <c r="I16" s="2"/>
      <c r="J16" s="123" t="s">
        <v>204</v>
      </c>
      <c r="K16" s="263">
        <f>HLOOKUP(J12,Metallhistorie!U72:X79,4,FALSE)</f>
        <v>711.09743999999989</v>
      </c>
      <c r="L16" s="2"/>
    </row>
    <row r="17" spans="1:12" ht="11.25" customHeight="1" thickBot="1" x14ac:dyDescent="0.25">
      <c r="A17" s="2"/>
      <c r="B17" s="2"/>
      <c r="C17" s="2"/>
      <c r="D17" s="2"/>
      <c r="E17" s="123" t="s">
        <v>205</v>
      </c>
      <c r="F17" s="2"/>
      <c r="G17" s="2"/>
      <c r="H17" s="124">
        <v>0</v>
      </c>
      <c r="I17" s="2"/>
      <c r="J17" s="123" t="s">
        <v>205</v>
      </c>
      <c r="K17" s="263">
        <f>HLOOKUP(J12,Metallhistorie!U72:X79,5,FALSE)</f>
        <v>9.6649999999999991</v>
      </c>
      <c r="L17" s="2"/>
    </row>
    <row r="18" spans="1:12" ht="11.25" customHeight="1" thickBot="1" x14ac:dyDescent="0.25">
      <c r="A18" s="2"/>
      <c r="B18" s="125"/>
      <c r="C18" s="126" t="s">
        <v>297</v>
      </c>
      <c r="D18" s="2"/>
      <c r="E18" s="123" t="s">
        <v>278</v>
      </c>
      <c r="F18" s="2"/>
      <c r="G18" s="2"/>
      <c r="H18" s="124">
        <v>0</v>
      </c>
      <c r="I18" s="2"/>
      <c r="J18" s="123" t="s">
        <v>278</v>
      </c>
      <c r="K18" s="263">
        <f>HLOOKUP(J12,Metallhistorie!U72:X79,6,FALSE)</f>
        <v>7.9211999999999998</v>
      </c>
      <c r="L18" s="2"/>
    </row>
    <row r="19" spans="1:12" ht="13.5" thickBot="1" x14ac:dyDescent="0.25">
      <c r="A19" s="2"/>
      <c r="B19" s="127"/>
      <c r="C19" s="9">
        <v>9</v>
      </c>
      <c r="D19" s="2"/>
      <c r="E19" s="123" t="s">
        <v>288</v>
      </c>
      <c r="F19" s="2"/>
      <c r="G19" s="2"/>
      <c r="H19" s="124">
        <v>0</v>
      </c>
      <c r="I19" s="2"/>
      <c r="J19" s="123" t="s">
        <v>288</v>
      </c>
      <c r="K19" s="263">
        <f>HLOOKUP(J12,Metallhistorie!U72:X79,7,FALSE)</f>
        <v>277.24199999999996</v>
      </c>
      <c r="L19" s="2"/>
    </row>
    <row r="20" spans="1:12" ht="13.5" thickBot="1" x14ac:dyDescent="0.25">
      <c r="A20" s="2"/>
      <c r="B20" s="128"/>
      <c r="C20" s="10">
        <f>C19/0.75</f>
        <v>12</v>
      </c>
      <c r="D20" s="2"/>
      <c r="E20" s="2"/>
      <c r="F20" s="2"/>
      <c r="G20" s="2"/>
      <c r="H20" s="2"/>
      <c r="I20" s="2"/>
      <c r="J20" s="123" t="s">
        <v>323</v>
      </c>
      <c r="K20" s="263">
        <f>HLOOKUP(J12,Metallhistorie!U72:X79,8,FALSE)</f>
        <v>1.1315999999999999</v>
      </c>
      <c r="L20" s="94"/>
    </row>
    <row r="21" spans="1:12" ht="3.75" customHeight="1" thickBot="1" x14ac:dyDescent="0.25">
      <c r="A21" s="2"/>
      <c r="B21" s="2"/>
      <c r="C21" s="2"/>
      <c r="D21" s="2"/>
      <c r="E21" s="2"/>
      <c r="F21" s="2"/>
      <c r="G21" s="2"/>
      <c r="H21" s="2"/>
      <c r="I21" s="2"/>
      <c r="J21" s="94"/>
      <c r="K21" s="94"/>
      <c r="L21" s="94"/>
    </row>
    <row r="22" spans="1:12" x14ac:dyDescent="0.2">
      <c r="A22" s="2"/>
      <c r="B22" s="430" t="s">
        <v>208</v>
      </c>
      <c r="C22" s="431"/>
      <c r="D22" s="2"/>
      <c r="E22" s="432" t="s">
        <v>93</v>
      </c>
      <c r="F22" s="433"/>
      <c r="G22" s="433"/>
      <c r="H22" s="434"/>
      <c r="I22" s="94"/>
      <c r="J22" s="432" t="s">
        <v>304</v>
      </c>
      <c r="K22" s="434"/>
      <c r="L22" s="94"/>
    </row>
    <row r="23" spans="1:12" x14ac:dyDescent="0.2">
      <c r="A23" s="2"/>
      <c r="B23" s="111" t="s">
        <v>157</v>
      </c>
      <c r="C23" s="7" t="s">
        <v>172</v>
      </c>
      <c r="D23" s="2"/>
      <c r="E23" s="111" t="s">
        <v>90</v>
      </c>
      <c r="F23" s="129"/>
      <c r="G23" s="130"/>
      <c r="H23" s="100">
        <v>0.3</v>
      </c>
      <c r="I23" s="96"/>
      <c r="J23" s="479" t="s">
        <v>207</v>
      </c>
      <c r="K23" s="480"/>
      <c r="L23" s="96"/>
    </row>
    <row r="24" spans="1:12" ht="13.5" thickBot="1" x14ac:dyDescent="0.25">
      <c r="A24" s="2"/>
      <c r="B24" s="113" t="s">
        <v>160</v>
      </c>
      <c r="C24" s="8" t="s">
        <v>359</v>
      </c>
      <c r="D24" s="2"/>
      <c r="E24" s="111" t="s">
        <v>91</v>
      </c>
      <c r="F24" s="129"/>
      <c r="G24" s="130"/>
      <c r="H24" s="100">
        <v>0</v>
      </c>
      <c r="I24" s="96"/>
      <c r="J24" s="481">
        <v>32</v>
      </c>
      <c r="K24" s="482"/>
      <c r="L24" s="96"/>
    </row>
    <row r="25" spans="1:12" x14ac:dyDescent="0.2">
      <c r="A25" s="2"/>
      <c r="B25" s="430" t="s">
        <v>209</v>
      </c>
      <c r="C25" s="431"/>
      <c r="D25" s="2"/>
      <c r="E25" s="111" t="s">
        <v>92</v>
      </c>
      <c r="F25" s="129"/>
      <c r="G25" s="130"/>
      <c r="H25" s="100">
        <v>0</v>
      </c>
      <c r="I25" s="96"/>
      <c r="J25" s="475">
        <f>Arbeitsplan!C130</f>
        <v>0</v>
      </c>
      <c r="K25" s="476"/>
      <c r="L25" s="96"/>
    </row>
    <row r="26" spans="1:12" ht="13.5" thickBot="1" x14ac:dyDescent="0.25">
      <c r="A26" s="2"/>
      <c r="B26" s="111" t="s">
        <v>210</v>
      </c>
      <c r="C26" s="7" t="s">
        <v>173</v>
      </c>
      <c r="D26" s="2"/>
      <c r="E26" s="113" t="s">
        <v>108</v>
      </c>
      <c r="F26" s="131"/>
      <c r="G26" s="132"/>
      <c r="H26" s="101">
        <v>1.1100000000000001</v>
      </c>
      <c r="I26" s="96"/>
      <c r="J26" s="133"/>
      <c r="K26" s="134"/>
      <c r="L26" s="96"/>
    </row>
    <row r="27" spans="1:12" ht="13.5" thickBot="1" x14ac:dyDescent="0.25">
      <c r="A27" s="2"/>
      <c r="B27" s="113" t="s">
        <v>211</v>
      </c>
      <c r="C27" s="8" t="s">
        <v>207</v>
      </c>
      <c r="D27" s="2"/>
      <c r="E27" s="135"/>
      <c r="F27" s="135"/>
      <c r="G27" s="94"/>
      <c r="H27" s="135"/>
      <c r="I27" s="96"/>
      <c r="J27" s="465" t="s">
        <v>315</v>
      </c>
      <c r="K27" s="466"/>
      <c r="L27" s="96"/>
    </row>
    <row r="28" spans="1:12" x14ac:dyDescent="0.2">
      <c r="A28" s="2"/>
      <c r="B28" s="111" t="s">
        <v>246</v>
      </c>
      <c r="C28" s="11">
        <v>2.2499999999999999E-2</v>
      </c>
      <c r="D28" s="2"/>
      <c r="E28" s="2"/>
      <c r="F28" s="2"/>
      <c r="G28" s="2"/>
      <c r="H28" s="2"/>
      <c r="I28" s="2"/>
      <c r="J28" s="467">
        <f>Arbeitsplan!C132</f>
        <v>0</v>
      </c>
      <c r="K28" s="468"/>
      <c r="L28" s="94"/>
    </row>
    <row r="29" spans="1:12" ht="3.75" customHeight="1" x14ac:dyDescent="0.2">
      <c r="A29" s="2"/>
      <c r="B29" s="2"/>
      <c r="C29" s="2"/>
      <c r="D29" s="2"/>
      <c r="E29" s="136"/>
      <c r="F29" s="136"/>
      <c r="G29" s="2"/>
      <c r="H29" s="2"/>
      <c r="I29" s="2"/>
      <c r="J29" s="133"/>
      <c r="K29" s="134"/>
      <c r="L29" s="94"/>
    </row>
    <row r="30" spans="1:12" ht="3.75" customHeight="1" thickBot="1" x14ac:dyDescent="0.25">
      <c r="A30" s="2"/>
      <c r="B30" s="2"/>
      <c r="C30" s="2"/>
      <c r="D30" s="2"/>
      <c r="E30" s="136"/>
      <c r="F30" s="136"/>
      <c r="G30" s="2"/>
      <c r="H30" s="2"/>
      <c r="I30" s="2"/>
      <c r="J30" s="133"/>
      <c r="K30" s="134"/>
      <c r="L30" s="2"/>
    </row>
    <row r="31" spans="1:12" ht="13.5" thickBot="1" x14ac:dyDescent="0.25">
      <c r="A31" s="2"/>
      <c r="B31" s="137" t="s">
        <v>83</v>
      </c>
      <c r="C31" s="116" t="s">
        <v>56</v>
      </c>
      <c r="D31" s="2"/>
      <c r="E31" s="138" t="s">
        <v>94</v>
      </c>
      <c r="F31" s="136"/>
      <c r="G31" s="2"/>
      <c r="H31" s="116" t="s">
        <v>273</v>
      </c>
      <c r="I31" s="2"/>
      <c r="J31" s="465" t="s">
        <v>316</v>
      </c>
      <c r="K31" s="466"/>
      <c r="L31" s="2"/>
    </row>
    <row r="32" spans="1:12" ht="3" customHeight="1" x14ac:dyDescent="0.2">
      <c r="A32" s="2"/>
      <c r="B32" s="139"/>
      <c r="C32" s="140"/>
      <c r="D32" s="2"/>
      <c r="E32" s="141"/>
      <c r="F32" s="142"/>
      <c r="G32" s="2"/>
      <c r="H32" s="140"/>
      <c r="I32" s="2"/>
      <c r="J32" s="477"/>
      <c r="K32" s="478"/>
      <c r="L32" s="2"/>
    </row>
    <row r="33" spans="1:12" x14ac:dyDescent="0.2">
      <c r="A33" s="2"/>
      <c r="B33" s="143" t="s">
        <v>84</v>
      </c>
      <c r="C33" s="144">
        <f>IF(Verpackung!X5=0,"Falsche VPE",Arbeitsplan!E70)</f>
        <v>1.4623206887755438</v>
      </c>
      <c r="D33" s="2"/>
      <c r="E33" s="145">
        <f t="shared" ref="E33:E38" si="0">C33*$H$26</f>
        <v>1.6231759645408537</v>
      </c>
      <c r="F33" s="142"/>
      <c r="G33" s="2"/>
      <c r="H33" s="146">
        <f>C33*Arbeitsplan!$K$17</f>
        <v>2.9662828171477399E-3</v>
      </c>
      <c r="I33" s="2"/>
      <c r="J33" s="467">
        <f>Arbeitsplan!C128</f>
        <v>0</v>
      </c>
      <c r="K33" s="468"/>
      <c r="L33" s="2"/>
    </row>
    <row r="34" spans="1:12" x14ac:dyDescent="0.2">
      <c r="A34" s="2"/>
      <c r="B34" s="143" t="s">
        <v>85</v>
      </c>
      <c r="C34" s="144">
        <f>IF(Verpackung!X5=0,"Falsche VPE",Arbeitsplan!F70)</f>
        <v>1.0179785115975819</v>
      </c>
      <c r="D34" s="2"/>
      <c r="E34" s="145">
        <f t="shared" si="0"/>
        <v>1.129956147873316</v>
      </c>
      <c r="F34" s="142"/>
      <c r="G34" s="2"/>
      <c r="H34" s="146">
        <f>C34*Arbeitsplan!$K$17</f>
        <v>2.0649452547279309E-3</v>
      </c>
      <c r="I34" s="2"/>
      <c r="J34" s="133"/>
      <c r="K34" s="134"/>
      <c r="L34" s="2"/>
    </row>
    <row r="35" spans="1:12" x14ac:dyDescent="0.2">
      <c r="A35" s="2"/>
      <c r="B35" s="143" t="s">
        <v>298</v>
      </c>
      <c r="C35" s="144">
        <f>IF(Verpackung!X5=0,"Falsche VPE",Arbeitsplan!D70)</f>
        <v>0.2243349375</v>
      </c>
      <c r="D35" s="2"/>
      <c r="E35" s="145">
        <f t="shared" si="0"/>
        <v>0.24901178062500001</v>
      </c>
      <c r="F35" s="142"/>
      <c r="G35" s="2"/>
      <c r="H35" s="146">
        <f>C35*Arbeitsplan!$K$17</f>
        <v>4.5505809737900985E-4</v>
      </c>
      <c r="I35" s="2"/>
      <c r="J35" s="465" t="s">
        <v>322</v>
      </c>
      <c r="K35" s="466"/>
      <c r="L35" s="2"/>
    </row>
    <row r="36" spans="1:12" x14ac:dyDescent="0.2">
      <c r="A36" s="2"/>
      <c r="B36" s="147" t="s">
        <v>299</v>
      </c>
      <c r="C36" s="148">
        <f>IF(Verpackung!X5=0,"Falsche VPE",Arbeitsplan!F76)</f>
        <v>0.7081829839958429</v>
      </c>
      <c r="D36" s="2"/>
      <c r="E36" s="145">
        <f t="shared" si="0"/>
        <v>0.78608311223538574</v>
      </c>
      <c r="F36" s="142"/>
      <c r="G36" s="2"/>
      <c r="H36" s="149">
        <f>C36*Arbeitsplan!$K$17</f>
        <v>1.4365323782584603E-3</v>
      </c>
      <c r="I36" s="2"/>
      <c r="J36" s="467">
        <f>J28+J33</f>
        <v>0</v>
      </c>
      <c r="K36" s="468"/>
      <c r="L36" s="2"/>
    </row>
    <row r="37" spans="1:12" ht="13.5" thickBot="1" x14ac:dyDescent="0.25">
      <c r="A37" s="2"/>
      <c r="B37" s="150" t="s">
        <v>86</v>
      </c>
      <c r="C37" s="151">
        <f>IF(Verpackung!X5=0,"Falsche VPE",(C33+C35+C36+C34))</f>
        <v>3.4128171218689687</v>
      </c>
      <c r="D37" s="2"/>
      <c r="E37" s="152">
        <f t="shared" si="0"/>
        <v>3.7882270052745555</v>
      </c>
      <c r="F37" s="153"/>
      <c r="G37" s="2"/>
      <c r="H37" s="154">
        <f>C37*Arbeitsplan!$K$17</f>
        <v>6.9228185475131406E-3</v>
      </c>
      <c r="I37" s="2"/>
      <c r="J37" s="133"/>
      <c r="K37" s="155"/>
      <c r="L37" s="2"/>
    </row>
    <row r="38" spans="1:12" ht="14.25" thickTop="1" thickBot="1" x14ac:dyDescent="0.25">
      <c r="A38" s="2"/>
      <c r="B38" s="156" t="s">
        <v>103</v>
      </c>
      <c r="C38" s="157">
        <f>IF(Verpackung!X5=0,"Falsche VPE",Metall!D37)</f>
        <v>11.546969580318352</v>
      </c>
      <c r="D38" s="2"/>
      <c r="E38" s="158">
        <f t="shared" si="0"/>
        <v>12.817136234153372</v>
      </c>
      <c r="F38" s="153"/>
      <c r="G38" s="2"/>
      <c r="H38" s="159">
        <f>C38*Arbeitsplan!$K$17</f>
        <v>2.342275379069287E-2</v>
      </c>
      <c r="I38" s="2"/>
      <c r="J38" s="133"/>
      <c r="K38" s="155"/>
      <c r="L38" s="2"/>
    </row>
    <row r="39" spans="1:12" ht="12.75" customHeight="1" x14ac:dyDescent="0.2">
      <c r="A39" s="2"/>
      <c r="B39" s="160" t="s">
        <v>104</v>
      </c>
      <c r="C39" s="161">
        <f>IF(Verpackung!X5=0,"Falsche VPE",(C55-(C37+C38)))</f>
        <v>1.6591071415684002</v>
      </c>
      <c r="D39" s="2"/>
      <c r="E39" s="162">
        <f>C39*$H$26</f>
        <v>1.8416089271409244</v>
      </c>
      <c r="F39" s="163"/>
      <c r="G39" s="2"/>
      <c r="H39" s="164">
        <f>C39*Arbeitsplan!$K$17</f>
        <v>3.3654594670080923E-3</v>
      </c>
      <c r="I39" s="2"/>
      <c r="J39" s="465" t="s">
        <v>321</v>
      </c>
      <c r="K39" s="466"/>
      <c r="L39" s="2"/>
    </row>
    <row r="40" spans="1:12" ht="13.5" thickBot="1" x14ac:dyDescent="0.25">
      <c r="A40" s="2"/>
      <c r="B40" s="160" t="s">
        <v>95</v>
      </c>
      <c r="C40" s="165">
        <f>IF(Verpackung!X5=0,"Falsche VPE",((C55-(C37+C38))/C55))</f>
        <v>9.9832585559945841E-2</v>
      </c>
      <c r="D40" s="2"/>
      <c r="E40" s="166">
        <f>C40</f>
        <v>9.9832585559945841E-2</v>
      </c>
      <c r="F40" s="163"/>
      <c r="G40" s="2"/>
      <c r="H40" s="165">
        <f>C40</f>
        <v>9.9832585559945841E-2</v>
      </c>
      <c r="I40" s="2"/>
      <c r="J40" s="473">
        <f>C48+J28+J33</f>
        <v>16.350362797196443</v>
      </c>
      <c r="K40" s="474"/>
      <c r="L40" s="2"/>
    </row>
    <row r="41" spans="1:12" ht="6.75" customHeight="1" x14ac:dyDescent="0.2">
      <c r="A41" s="2"/>
      <c r="B41" s="139"/>
      <c r="C41" s="140"/>
      <c r="D41" s="2"/>
      <c r="E41" s="167"/>
      <c r="F41" s="142"/>
      <c r="G41" s="2"/>
      <c r="H41" s="168"/>
      <c r="I41" s="2"/>
      <c r="J41" s="133"/>
      <c r="K41" s="134"/>
      <c r="L41" s="2"/>
    </row>
    <row r="42" spans="1:12" ht="12.75" customHeight="1" x14ac:dyDescent="0.2">
      <c r="A42" s="2"/>
      <c r="B42" s="143" t="s">
        <v>267</v>
      </c>
      <c r="C42" s="144">
        <f>IF(Verpackung!X5=0,"Falsche VPE",(Arbeitsplan!H81+Arbeitsplan!H84+Arbeitsplan!H85))</f>
        <v>0.40008857344151716</v>
      </c>
      <c r="D42" s="2"/>
      <c r="E42" s="145">
        <f t="shared" ref="E42:E48" si="1">C42*$H$26</f>
        <v>0.44409831652008408</v>
      </c>
      <c r="F42" s="142"/>
      <c r="G42" s="2"/>
      <c r="H42" s="146">
        <f>C42*Arbeitsplan!$K$17</f>
        <v>8.1157017735313311E-4</v>
      </c>
      <c r="I42" s="2"/>
      <c r="J42" s="169"/>
      <c r="K42" s="170"/>
      <c r="L42" s="2"/>
    </row>
    <row r="43" spans="1:12" x14ac:dyDescent="0.2">
      <c r="A43" s="2"/>
      <c r="B43" s="143" t="s">
        <v>268</v>
      </c>
      <c r="C43" s="144">
        <f>IF(Verpackung!X5=0,"Falsche VPE",Arbeitsplan!H82)</f>
        <v>0.10125000000000001</v>
      </c>
      <c r="D43" s="2"/>
      <c r="E43" s="145">
        <f t="shared" si="1"/>
        <v>0.11238750000000002</v>
      </c>
      <c r="F43" s="142"/>
      <c r="G43" s="2"/>
      <c r="H43" s="146">
        <f>C43*Arbeitsplan!$K$17</f>
        <v>2.0538322239541822E-4</v>
      </c>
      <c r="I43" s="2"/>
      <c r="J43" s="169"/>
      <c r="K43" s="170"/>
      <c r="L43" s="2"/>
    </row>
    <row r="44" spans="1:12" x14ac:dyDescent="0.2">
      <c r="A44" s="2"/>
      <c r="B44" s="147" t="s">
        <v>269</v>
      </c>
      <c r="C44" s="148">
        <f>IF(Verpackung!X5=0,"Falsche VPE",Arbeitsplan!H87)</f>
        <v>0.58923752156760067</v>
      </c>
      <c r="D44" s="2"/>
      <c r="E44" s="145">
        <f t="shared" si="1"/>
        <v>0.65405364894003681</v>
      </c>
      <c r="F44" s="142"/>
      <c r="G44" s="2"/>
      <c r="H44" s="146">
        <f>C44*Arbeitsplan!$K$17</f>
        <v>1.1952543302305538E-3</v>
      </c>
      <c r="I44" s="2"/>
      <c r="J44" s="169"/>
      <c r="K44" s="170"/>
      <c r="L44" s="2"/>
    </row>
    <row r="45" spans="1:12" ht="13.5" thickBot="1" x14ac:dyDescent="0.25">
      <c r="A45" s="2"/>
      <c r="B45" s="143" t="s">
        <v>107</v>
      </c>
      <c r="C45" s="144">
        <f>IF(Verpackung!X5=0,"Falsche VPE",Arbeitsplan!H89)</f>
        <v>1.0905760950091179</v>
      </c>
      <c r="D45" s="2"/>
      <c r="E45" s="145">
        <f t="shared" si="1"/>
        <v>1.2105394654601209</v>
      </c>
      <c r="F45" s="142"/>
      <c r="G45" s="2"/>
      <c r="H45" s="146">
        <f>C45*Arbeitsplan!$K$17</f>
        <v>2.2122077299791053E-3</v>
      </c>
      <c r="I45" s="2"/>
      <c r="J45" s="169"/>
      <c r="K45" s="170"/>
      <c r="L45" s="2"/>
    </row>
    <row r="46" spans="1:12" ht="13.5" thickBot="1" x14ac:dyDescent="0.25">
      <c r="A46" s="2"/>
      <c r="B46" s="171" t="s">
        <v>270</v>
      </c>
      <c r="C46" s="172">
        <f>IF(Verpackung!X5=0,"Falsche VPE",Arbeitsplan!H91)</f>
        <v>16.050362797196442</v>
      </c>
      <c r="D46" s="2"/>
      <c r="E46" s="173">
        <f t="shared" si="1"/>
        <v>17.815902704888053</v>
      </c>
      <c r="F46" s="142"/>
      <c r="G46" s="2"/>
      <c r="H46" s="174">
        <f>C46*Arbeitsplan!$K$17</f>
        <v>3.2557780068185126E-2</v>
      </c>
      <c r="I46" s="2"/>
      <c r="J46" s="169"/>
      <c r="K46" s="170"/>
      <c r="L46" s="2"/>
    </row>
    <row r="47" spans="1:12" ht="13.5" customHeight="1" thickBot="1" x14ac:dyDescent="0.25">
      <c r="A47" s="2"/>
      <c r="B47" s="175" t="s">
        <v>318</v>
      </c>
      <c r="C47" s="176">
        <f>IF(Verpackung!X5=0,"Falsche VPE",Arbeitsplan!H94+Arbeitsplan!H95)</f>
        <v>0.3</v>
      </c>
      <c r="D47" s="2"/>
      <c r="E47" s="177">
        <f t="shared" si="1"/>
        <v>0.33300000000000002</v>
      </c>
      <c r="F47" s="142"/>
      <c r="G47" s="2"/>
      <c r="H47" s="178">
        <f>C47*Arbeitsplan!$K$17</f>
        <v>6.0854288117160953E-4</v>
      </c>
      <c r="I47" s="2"/>
      <c r="J47" s="169"/>
      <c r="K47" s="170"/>
      <c r="L47" s="2"/>
    </row>
    <row r="48" spans="1:12" ht="13.5" customHeight="1" thickBot="1" x14ac:dyDescent="0.25">
      <c r="A48" s="2"/>
      <c r="B48" s="171" t="s">
        <v>271</v>
      </c>
      <c r="C48" s="172">
        <f>IF(Verpackung!X5=0,"Falsche VPE",(C46+C47))</f>
        <v>16.350362797196443</v>
      </c>
      <c r="D48" s="2"/>
      <c r="E48" s="179">
        <f t="shared" si="1"/>
        <v>18.148902704888052</v>
      </c>
      <c r="F48" s="142"/>
      <c r="G48" s="2"/>
      <c r="H48" s="174">
        <f>C48*Arbeitsplan!$K$17</f>
        <v>3.316632294935673E-2</v>
      </c>
      <c r="I48" s="2"/>
      <c r="J48" s="169"/>
      <c r="K48" s="170"/>
      <c r="L48" s="2"/>
    </row>
    <row r="49" spans="1:12" ht="6.75" customHeight="1" thickBot="1" x14ac:dyDescent="0.25">
      <c r="A49" s="2"/>
      <c r="B49" s="180"/>
      <c r="C49" s="181"/>
      <c r="D49" s="2"/>
      <c r="E49" s="167"/>
      <c r="F49" s="142"/>
      <c r="G49" s="2"/>
      <c r="H49" s="182"/>
      <c r="I49" s="2"/>
      <c r="J49" s="169"/>
      <c r="K49" s="170"/>
      <c r="L49" s="2"/>
    </row>
    <row r="50" spans="1:12" ht="13.5" thickBot="1" x14ac:dyDescent="0.25">
      <c r="A50" s="2"/>
      <c r="B50" s="183" t="s">
        <v>272</v>
      </c>
      <c r="C50" s="184">
        <f>IF(Verpackung!X5=0,"Falsche VPE",Arbeitsplan!H102)</f>
        <v>4.2</v>
      </c>
      <c r="D50" s="2"/>
      <c r="E50" s="185">
        <f>C50*$H$26</f>
        <v>4.6620000000000008</v>
      </c>
      <c r="F50" s="142"/>
      <c r="G50" s="2"/>
      <c r="H50" s="186">
        <f>C50*Arbeitsplan!$K$17</f>
        <v>8.519600336402533E-3</v>
      </c>
      <c r="I50" s="2"/>
      <c r="J50" s="432" t="s">
        <v>317</v>
      </c>
      <c r="K50" s="434"/>
      <c r="L50" s="2"/>
    </row>
    <row r="51" spans="1:12" ht="13.5" thickBot="1" x14ac:dyDescent="0.25">
      <c r="A51" s="2"/>
      <c r="B51" s="143" t="s">
        <v>300</v>
      </c>
      <c r="C51" s="144">
        <f>IF(Verpackung!X5=0,"Falsche VPE",Arbeitsplan!H103)</f>
        <v>0.3</v>
      </c>
      <c r="D51" s="2"/>
      <c r="E51" s="187">
        <f>C51*$H$26</f>
        <v>0.33300000000000002</v>
      </c>
      <c r="F51" s="142"/>
      <c r="G51" s="2"/>
      <c r="H51" s="146">
        <f>C51*Arbeitsplan!$K$17</f>
        <v>6.0854288117160953E-4</v>
      </c>
      <c r="I51" s="2"/>
      <c r="J51" s="469">
        <v>51.59</v>
      </c>
      <c r="K51" s="470"/>
      <c r="L51" s="2"/>
    </row>
    <row r="52" spans="1:12" x14ac:dyDescent="0.2">
      <c r="A52" s="2"/>
      <c r="B52" s="143" t="s">
        <v>274</v>
      </c>
      <c r="C52" s="144">
        <f>IF(Verpackung!X5=0,"Falsche VPE",Metall!D30)</f>
        <v>8.2533804943135642</v>
      </c>
      <c r="D52" s="2"/>
      <c r="E52" s="187">
        <f>C52*$H$26</f>
        <v>9.1612523486880573</v>
      </c>
      <c r="F52" s="142"/>
      <c r="G52" s="2"/>
      <c r="H52" s="146">
        <f>C52*Arbeitsplan!$K$17</f>
        <v>1.6741786484717133E-2</v>
      </c>
      <c r="I52" s="2"/>
      <c r="J52" s="169"/>
      <c r="K52" s="170"/>
      <c r="L52" s="2"/>
    </row>
    <row r="53" spans="1:12" ht="13.5" thickBot="1" x14ac:dyDescent="0.25">
      <c r="A53" s="2"/>
      <c r="B53" s="147" t="s">
        <v>275</v>
      </c>
      <c r="C53" s="148">
        <f>IF(Verpackung!X5=0,"Falsche VPE",Metall!D31)</f>
        <v>3.865513349442157</v>
      </c>
      <c r="D53" s="2"/>
      <c r="E53" s="177">
        <f>C53*$H$26</f>
        <v>4.2907198178807944</v>
      </c>
      <c r="F53" s="142"/>
      <c r="G53" s="2"/>
      <c r="H53" s="149">
        <f>C53*Arbeitsplan!$K$17</f>
        <v>7.8411021029228291E-3</v>
      </c>
      <c r="I53" s="2"/>
      <c r="J53" s="188"/>
      <c r="K53" s="189"/>
      <c r="L53" s="2"/>
    </row>
    <row r="54" spans="1:12" ht="13.5" thickBot="1" x14ac:dyDescent="0.25">
      <c r="A54" s="2"/>
      <c r="B54" s="139"/>
      <c r="C54" s="140"/>
      <c r="D54" s="2"/>
      <c r="E54" s="167"/>
      <c r="F54" s="142"/>
      <c r="G54" s="2"/>
      <c r="H54" s="168"/>
      <c r="I54" s="2"/>
      <c r="J54" s="432" t="s">
        <v>319</v>
      </c>
      <c r="K54" s="434"/>
      <c r="L54" s="2"/>
    </row>
    <row r="55" spans="1:12" ht="13.5" thickBot="1" x14ac:dyDescent="0.25">
      <c r="A55" s="2"/>
      <c r="B55" s="190" t="s">
        <v>87</v>
      </c>
      <c r="C55" s="191">
        <f>IF(Verpackung!X5=0,"Falsche VPE",(C50+C51+C53+C52))</f>
        <v>16.618893843755721</v>
      </c>
      <c r="D55" s="2"/>
      <c r="E55" s="192">
        <f>C55*$H$26</f>
        <v>18.446972166568852</v>
      </c>
      <c r="F55" s="142"/>
      <c r="G55" s="2"/>
      <c r="H55" s="193">
        <f>C55*Arbeitsplan!$K$17</f>
        <v>3.3711031805214106E-2</v>
      </c>
      <c r="I55" s="2"/>
      <c r="J55" s="471">
        <f>J51+C52+C53</f>
        <v>63.708893843755718</v>
      </c>
      <c r="K55" s="472"/>
      <c r="L55" s="2"/>
    </row>
    <row r="56" spans="1:12" ht="13.5" customHeight="1" thickBot="1" x14ac:dyDescent="0.25">
      <c r="A56" s="2"/>
      <c r="B56" s="194"/>
      <c r="C56" s="195"/>
      <c r="D56" s="2"/>
      <c r="E56" s="196"/>
      <c r="F56" s="142"/>
      <c r="G56" s="2"/>
      <c r="H56" s="197"/>
      <c r="I56" s="2"/>
      <c r="J56" s="133"/>
      <c r="K56" s="134"/>
      <c r="L56" s="2"/>
    </row>
    <row r="57" spans="1:12" x14ac:dyDescent="0.2">
      <c r="A57" s="2"/>
      <c r="B57" s="175" t="s">
        <v>88</v>
      </c>
      <c r="C57" s="198">
        <f>IF(Verpackung!X5=0,"Falsche VPE",(C55-C48))</f>
        <v>0.26853104655927851</v>
      </c>
      <c r="D57" s="2"/>
      <c r="E57" s="199">
        <f>C57*$H$26</f>
        <v>0.29806946168079917</v>
      </c>
      <c r="F57" s="200"/>
      <c r="G57" s="2"/>
      <c r="H57" s="201">
        <f>C57*Arbeitsplan!$K$17</f>
        <v>5.4470885585736987E-4</v>
      </c>
      <c r="I57" s="2"/>
      <c r="J57" s="432" t="s">
        <v>320</v>
      </c>
      <c r="K57" s="434"/>
      <c r="L57" s="2"/>
    </row>
    <row r="58" spans="1:12" x14ac:dyDescent="0.2">
      <c r="A58" s="2"/>
      <c r="B58" s="143" t="s">
        <v>89</v>
      </c>
      <c r="C58" s="202">
        <f>IF(Verpackung!X5=0,"Falsche VPE",(C57/C55))</f>
        <v>1.6158178100413985E-2</v>
      </c>
      <c r="D58" s="203"/>
      <c r="E58" s="202">
        <f>+C58</f>
        <v>1.6158178100413985E-2</v>
      </c>
      <c r="F58" s="204"/>
      <c r="G58" s="205"/>
      <c r="H58" s="202">
        <f>C58</f>
        <v>1.6158178100413985E-2</v>
      </c>
      <c r="I58" s="2"/>
      <c r="J58" s="473">
        <f>J55-J40</f>
        <v>47.358531046559278</v>
      </c>
      <c r="K58" s="474"/>
      <c r="L58" s="2"/>
    </row>
    <row r="59" spans="1:12" ht="13.5" thickBot="1" x14ac:dyDescent="0.25">
      <c r="A59" s="2"/>
      <c r="B59" s="206" t="s">
        <v>326</v>
      </c>
      <c r="C59" s="207">
        <f>IF(Verpackung!X5=0,"Falsche VPE",(C57*C8))</f>
        <v>1342.6552327963925</v>
      </c>
      <c r="D59" s="2"/>
      <c r="E59" s="208">
        <f>C59*$H$26</f>
        <v>1490.3473084039958</v>
      </c>
      <c r="F59" s="209"/>
      <c r="G59" s="2"/>
      <c r="H59" s="207">
        <f>C59</f>
        <v>1342.6552327963925</v>
      </c>
      <c r="I59" s="2"/>
      <c r="J59" s="463">
        <f>J58/J55</f>
        <v>0.74335823759088882</v>
      </c>
      <c r="K59" s="464"/>
      <c r="L59" s="2"/>
    </row>
    <row r="60" spans="1:12" ht="13.5" thickBot="1" x14ac:dyDescent="0.25">
      <c r="A60" s="2"/>
      <c r="B60" s="210" t="s">
        <v>325</v>
      </c>
      <c r="C60" s="211">
        <f>C55*C8</f>
        <v>83094.469218778613</v>
      </c>
      <c r="D60" s="203"/>
      <c r="E60" s="2"/>
      <c r="F60" s="2"/>
      <c r="G60" s="2"/>
      <c r="H60" s="2"/>
      <c r="I60" s="2"/>
      <c r="J60" s="2"/>
      <c r="K60" s="2"/>
      <c r="L60" s="2"/>
    </row>
    <row r="61" spans="1:12" x14ac:dyDescent="0.2">
      <c r="A61" s="2"/>
      <c r="B61" s="2"/>
      <c r="C61" s="2"/>
      <c r="D61" s="2"/>
      <c r="E61" s="2"/>
      <c r="F61" s="2"/>
      <c r="G61" s="2"/>
      <c r="H61" s="2"/>
      <c r="I61" s="2"/>
      <c r="J61" s="2"/>
      <c r="K61" s="2"/>
      <c r="L61" s="2"/>
    </row>
  </sheetData>
  <sheetProtection sheet="1" objects="1" scenarios="1"/>
  <mergeCells count="35">
    <mergeCell ref="B1:K1"/>
    <mergeCell ref="J3:K3"/>
    <mergeCell ref="J4:K4"/>
    <mergeCell ref="E22:H22"/>
    <mergeCell ref="B14:C14"/>
    <mergeCell ref="B22:C22"/>
    <mergeCell ref="J22:K22"/>
    <mergeCell ref="G7:K8"/>
    <mergeCell ref="B3:C3"/>
    <mergeCell ref="E3:H3"/>
    <mergeCell ref="E4:H4"/>
    <mergeCell ref="E5:H5"/>
    <mergeCell ref="J5:K5"/>
    <mergeCell ref="J25:K25"/>
    <mergeCell ref="J10:K11"/>
    <mergeCell ref="J12:K12"/>
    <mergeCell ref="B25:C25"/>
    <mergeCell ref="J58:K58"/>
    <mergeCell ref="J33:K33"/>
    <mergeCell ref="J27:K27"/>
    <mergeCell ref="J28:K28"/>
    <mergeCell ref="J31:K31"/>
    <mergeCell ref="J32:K32"/>
    <mergeCell ref="J23:K23"/>
    <mergeCell ref="J24:K24"/>
    <mergeCell ref="J59:K59"/>
    <mergeCell ref="J35:K35"/>
    <mergeCell ref="J36:K36"/>
    <mergeCell ref="J50:K50"/>
    <mergeCell ref="J51:K51"/>
    <mergeCell ref="J54:K54"/>
    <mergeCell ref="J55:K55"/>
    <mergeCell ref="J39:K39"/>
    <mergeCell ref="J40:K40"/>
    <mergeCell ref="J57:K57"/>
  </mergeCells>
  <phoneticPr fontId="2" type="noConversion"/>
  <conditionalFormatting sqref="C57:C59 E57:F59">
    <cfRule type="cellIs" dxfId="21" priority="42" stopIfTrue="1" operator="greaterThan">
      <formula>0</formula>
    </cfRule>
    <cfRule type="cellIs" dxfId="20" priority="43" stopIfTrue="1" operator="lessThan">
      <formula>0</formula>
    </cfRule>
  </conditionalFormatting>
  <conditionalFormatting sqref="H57:H59">
    <cfRule type="cellIs" dxfId="19" priority="32" stopIfTrue="1" operator="greaterThan">
      <formula>0</formula>
    </cfRule>
    <cfRule type="cellIs" dxfId="18" priority="33" stopIfTrue="1" operator="lessThan">
      <formula>0</formula>
    </cfRule>
  </conditionalFormatting>
  <conditionalFormatting sqref="E12:H19">
    <cfRule type="expression" dxfId="17" priority="24">
      <formula>$C$12&lt;&gt;"Manuell"</formula>
    </cfRule>
  </conditionalFormatting>
  <conditionalFormatting sqref="B20">
    <cfRule type="expression" dxfId="16" priority="23">
      <formula>$B$19="Nein"</formula>
    </cfRule>
  </conditionalFormatting>
  <conditionalFormatting sqref="J24:K59">
    <cfRule type="expression" dxfId="15" priority="17">
      <formula>$J$23="Nein"</formula>
    </cfRule>
  </conditionalFormatting>
  <conditionalFormatting sqref="C60 E60:F60">
    <cfRule type="cellIs" dxfId="14" priority="15" stopIfTrue="1" operator="greaterThan">
      <formula>0</formula>
    </cfRule>
    <cfRule type="cellIs" dxfId="13" priority="16" stopIfTrue="1" operator="lessThan">
      <formula>0</formula>
    </cfRule>
  </conditionalFormatting>
  <conditionalFormatting sqref="H60">
    <cfRule type="cellIs" dxfId="12" priority="13" stopIfTrue="1" operator="greaterThan">
      <formula>0</formula>
    </cfRule>
    <cfRule type="cellIs" dxfId="11" priority="14" stopIfTrue="1" operator="lessThan">
      <formula>0</formula>
    </cfRule>
  </conditionalFormatting>
  <conditionalFormatting sqref="J60:K60">
    <cfRule type="expression" dxfId="10" priority="11">
      <formula>$J$23="Nein"</formula>
    </cfRule>
  </conditionalFormatting>
  <dataValidations count="5">
    <dataValidation type="list" allowBlank="1" showInputMessage="1" showErrorMessage="1" error="Keine Maschine ausgewählt" sqref="C13:D13" xr:uid="{00000000-0002-0000-0300-000000000000}">
      <formula1>"SnPb37, Sn 100, SnPbAg 62/36/2, SnAg 3,5"</formula1>
    </dataValidation>
    <dataValidation allowBlank="1" showInputMessage="1" showErrorMessage="1" error="Keine Maschine ausgewählt" sqref="D12" xr:uid="{00000000-0002-0000-0300-000001000000}"/>
    <dataValidation type="list" allowBlank="1" showInputMessage="1" showErrorMessage="1" sqref="C24 C27 J23:K23" xr:uid="{00000000-0002-0000-0300-000002000000}">
      <formula1>"Ja,Nein"</formula1>
    </dataValidation>
    <dataValidation type="list" allowBlank="1" showInputMessage="1" showErrorMessage="1" sqref="C28" xr:uid="{00000000-0002-0000-0300-000003000000}">
      <mc:AlternateContent xmlns:x12ac="http://schemas.microsoft.com/office/spreadsheetml/2011/1/ac" xmlns:mc="http://schemas.openxmlformats.org/markup-compatibility/2006">
        <mc:Choice Requires="x12ac">
          <x12ac:list>0,"0,045","0,0225"</x12ac:list>
        </mc:Choice>
        <mc:Fallback>
          <formula1>"0,0,045,0,0225"</formula1>
        </mc:Fallback>
      </mc:AlternateContent>
    </dataValidation>
    <dataValidation type="list" allowBlank="1" showInputMessage="1" showErrorMessage="1" sqref="J12:K12" xr:uid="{00000000-0002-0000-0300-000004000000}">
      <formula1>"3MONTHS AVG, ROLLING 3M AVG, Daily, Preview NextQ"</formula1>
    </dataValidation>
  </dataValidations>
  <pageMargins left="0.78740157499999996" right="0.78740157499999996" top="0.984251969" bottom="0.984251969" header="0.4921259845" footer="0.4921259845"/>
  <pageSetup paperSize="9" scale="89" fitToHeight="0" orientation="portrait" r:id="rId1"/>
  <headerFooter alignWithMargins="0">
    <oddFooter>&amp;L&amp;8&amp;D - &amp;T&amp;R&amp;8&amp;F</oddFooter>
  </headerFooter>
  <ignoredErrors>
    <ignoredError sqref="E58"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9" id="{332A034E-9C39-46AE-B479-8E5E43FC391A}">
            <xm:f>Verpackung!$W$5=0</xm:f>
            <x14:dxf>
              <font>
                <b/>
                <i val="0"/>
                <color theme="0"/>
              </font>
              <fill>
                <patternFill>
                  <bgColor rgb="FFFF0000"/>
                </patternFill>
              </fill>
            </x14:dxf>
          </x14:cfRule>
          <xm:sqref>C26</xm:sqref>
        </x14:conditionalFormatting>
        <x14:conditionalFormatting xmlns:xm="http://schemas.microsoft.com/office/excel/2006/main">
          <x14:cfRule type="expression" priority="28" id="{10E70449-AC9C-430D-BE4A-F3595E7932EC}">
            <xm:f>Verpackung!$W$5=0</xm:f>
            <x14:dxf>
              <font>
                <color theme="1" tint="0.499984740745262"/>
              </font>
              <fill>
                <patternFill>
                  <bgColor theme="1" tint="0.499984740745262"/>
                </patternFill>
              </fill>
              <border>
                <left/>
                <right/>
                <top/>
                <bottom/>
                <vertical/>
                <horizontal/>
              </border>
            </x14:dxf>
          </x14:cfRule>
          <xm:sqref>E31:H59</xm:sqref>
        </x14:conditionalFormatting>
        <x14:conditionalFormatting xmlns:xm="http://schemas.microsoft.com/office/excel/2006/main">
          <x14:cfRule type="expression" priority="27" id="{74E80B29-64FE-4F6F-BDCE-0206CDE64C2F}">
            <xm:f>Verpackung!$W$5=0</xm:f>
            <x14:dxf>
              <font>
                <color theme="1" tint="0.499984740745262"/>
              </font>
              <fill>
                <patternFill>
                  <bgColor theme="1" tint="0.499984740745262"/>
                </patternFill>
              </fill>
              <border>
                <left/>
                <right/>
                <top/>
                <bottom/>
                <vertical/>
                <horizontal/>
              </border>
            </x14:dxf>
          </x14:cfRule>
          <xm:sqref>E12</xm:sqref>
        </x14:conditionalFormatting>
        <x14:conditionalFormatting xmlns:xm="http://schemas.microsoft.com/office/excel/2006/main">
          <x14:cfRule type="expression" priority="26" id="{2731AAFB-4947-4C62-B388-E3139B8467F2}">
            <xm:f>Verpackung!$W$5=0</xm:f>
            <x14:dxf>
              <font>
                <color theme="1" tint="0.499984740745262"/>
              </font>
              <fill>
                <patternFill>
                  <bgColor theme="1" tint="0.499984740745262"/>
                </patternFill>
              </fill>
              <border>
                <left/>
                <right/>
                <top/>
                <bottom/>
                <vertical/>
                <horizontal/>
              </border>
            </x14:dxf>
          </x14:cfRule>
          <xm:sqref>E12:H12</xm:sqref>
        </x14:conditionalFormatting>
        <x14:conditionalFormatting xmlns:xm="http://schemas.microsoft.com/office/excel/2006/main">
          <x14:cfRule type="expression" priority="25" id="{AD2C5955-FA8A-4F60-ABBC-1B0AA4DD851E}">
            <xm:f>Legierungen!$J$24&lt;&gt;100</xm:f>
            <x14:dxf>
              <font>
                <b/>
                <i val="0"/>
                <color theme="0"/>
              </font>
              <fill>
                <patternFill>
                  <fgColor rgb="FFFF0000"/>
                  <bgColor rgb="FFFF0000"/>
                </patternFill>
              </fill>
            </x14:dxf>
          </x14:cfRule>
          <xm:sqref>H14:H19</xm:sqref>
        </x14:conditionalFormatting>
        <x14:conditionalFormatting xmlns:xm="http://schemas.microsoft.com/office/excel/2006/main">
          <x14:cfRule type="expression" priority="12" id="{9852116A-5AB9-422F-8E4C-3B75627E5AAF}">
            <xm:f>Verpackung!$W$5=0</xm:f>
            <x14:dxf>
              <font>
                <color theme="1" tint="0.499984740745262"/>
              </font>
              <fill>
                <patternFill>
                  <bgColor theme="1" tint="0.499984740745262"/>
                </patternFill>
              </fill>
              <border>
                <left/>
                <right/>
                <top/>
                <bottom/>
                <vertical/>
                <horizontal/>
              </border>
            </x14:dxf>
          </x14:cfRule>
          <xm:sqref>E60:H60</xm:sqref>
        </x14:conditionalFormatting>
        <x14:conditionalFormatting xmlns:xm="http://schemas.microsoft.com/office/excel/2006/main">
          <x14:cfRule type="expression" priority="1" id="{7FD42CFF-1842-4D20-9DDF-DCB509B21DC1}">
            <xm:f>IF(Metallhistorie!$T$70=0,1,IF($J$12="Daily",1,0))</xm:f>
            <x14:dxf>
              <font>
                <b/>
                <i val="0"/>
                <color theme="0"/>
              </font>
              <fill>
                <patternFill>
                  <bgColor rgb="FFFF0000"/>
                </patternFill>
              </fill>
              <border>
                <left style="thin">
                  <color auto="1"/>
                </left>
                <right style="thin">
                  <color auto="1"/>
                </right>
                <top style="thin">
                  <color auto="1"/>
                </top>
                <bottom style="thin">
                  <color auto="1"/>
                </bottom>
                <vertical/>
                <horizontal/>
              </border>
            </x14:dxf>
          </x14:cfRule>
          <xm:sqref>G7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5000000}">
          <x14:formula1>
            <xm:f>Verpackung!$B$24:$B$32</xm:f>
          </x14:formula1>
          <xm:sqref>C23</xm:sqref>
        </x14:dataValidation>
        <x14:dataValidation type="list" allowBlank="1" showInputMessage="1" showErrorMessage="1" xr:uid="{00000000-0002-0000-0300-000006000000}">
          <x14:formula1>
            <xm:f>Verpackung!$B$5:$B$19</xm:f>
          </x14:formula1>
          <xm:sqref>C26</xm:sqref>
        </x14:dataValidation>
        <x14:dataValidation type="list" allowBlank="1" showInputMessage="1" showErrorMessage="1" xr:uid="{00000000-0002-0000-0300-000007000000}">
          <x14:formula1>
            <xm:f>Legierungen!$B$7:$B$24</xm:f>
          </x14:formula1>
          <xm:sqref>C12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C26BE-E87E-4661-8629-85B0AC51BE22}">
  <sheetPr codeName="Tabelle8">
    <tabColor theme="4"/>
  </sheetPr>
  <dimension ref="A1:O9"/>
  <sheetViews>
    <sheetView workbookViewId="0">
      <selection activeCell="D3" sqref="D3:H27"/>
    </sheetView>
  </sheetViews>
  <sheetFormatPr baseColWidth="10" defaultRowHeight="12.75" x14ac:dyDescent="0.2"/>
  <cols>
    <col min="1" max="1" width="13" customWidth="1"/>
    <col min="2" max="2" width="16.28515625" customWidth="1"/>
    <col min="5" max="6" width="24.28515625" bestFit="1" customWidth="1"/>
    <col min="9" max="9" width="45.85546875" customWidth="1"/>
    <col min="12" max="12" width="11.7109375" customWidth="1"/>
    <col min="13" max="13" width="3.85546875" customWidth="1"/>
  </cols>
  <sheetData>
    <row r="1" spans="1:15" ht="15" x14ac:dyDescent="0.25">
      <c r="A1" s="484" t="s">
        <v>484</v>
      </c>
      <c r="B1" s="484"/>
      <c r="D1" s="484" t="s">
        <v>498</v>
      </c>
      <c r="E1" s="484"/>
      <c r="F1" s="484"/>
      <c r="G1" s="484"/>
      <c r="H1" s="484"/>
      <c r="J1" s="485" t="s">
        <v>514</v>
      </c>
      <c r="K1" s="485"/>
      <c r="L1" s="485"/>
      <c r="N1" t="s">
        <v>515</v>
      </c>
      <c r="O1" s="417" t="s">
        <v>518</v>
      </c>
    </row>
    <row r="2" spans="1:15" ht="15" x14ac:dyDescent="0.25">
      <c r="A2" s="413" t="s">
        <v>469</v>
      </c>
      <c r="B2" s="413" t="s">
        <v>470</v>
      </c>
      <c r="D2" s="412" t="s">
        <v>487</v>
      </c>
      <c r="E2" s="412" t="s">
        <v>488</v>
      </c>
      <c r="F2" s="412" t="s">
        <v>489</v>
      </c>
      <c r="G2" s="412" t="s">
        <v>490</v>
      </c>
      <c r="H2" s="412" t="s">
        <v>491</v>
      </c>
      <c r="J2" s="416" t="s">
        <v>518</v>
      </c>
      <c r="K2" s="416" t="s">
        <v>518</v>
      </c>
      <c r="L2" s="416" t="s">
        <v>518</v>
      </c>
      <c r="N2" t="s">
        <v>517</v>
      </c>
      <c r="O2" s="417" t="s">
        <v>518</v>
      </c>
    </row>
    <row r="3" spans="1:15" x14ac:dyDescent="0.2">
      <c r="A3" s="403" t="s">
        <v>204</v>
      </c>
      <c r="B3" s="403">
        <v>145.20392000000001</v>
      </c>
      <c r="D3">
        <v>1</v>
      </c>
      <c r="E3" t="s">
        <v>492</v>
      </c>
      <c r="F3">
        <v>110</v>
      </c>
      <c r="G3">
        <v>1</v>
      </c>
      <c r="H3">
        <v>0.05</v>
      </c>
      <c r="N3" t="s">
        <v>516</v>
      </c>
      <c r="O3" s="417" t="s">
        <v>518</v>
      </c>
    </row>
    <row r="4" spans="1:15" x14ac:dyDescent="0.2">
      <c r="A4" s="403" t="s">
        <v>205</v>
      </c>
      <c r="B4" s="403">
        <v>51.320300000000003</v>
      </c>
      <c r="D4">
        <v>1</v>
      </c>
      <c r="E4" t="s">
        <v>492</v>
      </c>
      <c r="F4" t="s">
        <v>493</v>
      </c>
      <c r="H4">
        <v>0.88</v>
      </c>
      <c r="J4" s="485" t="s">
        <v>513</v>
      </c>
      <c r="K4" s="485"/>
      <c r="L4" s="485"/>
    </row>
    <row r="5" spans="1:15" x14ac:dyDescent="0.2">
      <c r="A5" s="403" t="s">
        <v>203</v>
      </c>
      <c r="B5" s="403">
        <v>35.99</v>
      </c>
      <c r="D5">
        <v>1</v>
      </c>
      <c r="E5" t="s">
        <v>492</v>
      </c>
      <c r="F5" t="s">
        <v>494</v>
      </c>
      <c r="H5">
        <v>0.12</v>
      </c>
      <c r="J5" s="416" t="s">
        <v>518</v>
      </c>
      <c r="K5" s="416" t="s">
        <v>518</v>
      </c>
      <c r="L5" s="416" t="s">
        <v>518</v>
      </c>
    </row>
    <row r="6" spans="1:15" x14ac:dyDescent="0.2">
      <c r="A6" s="403" t="s">
        <v>202</v>
      </c>
      <c r="B6" s="403">
        <v>70</v>
      </c>
      <c r="D6">
        <v>2</v>
      </c>
      <c r="E6" t="s">
        <v>494</v>
      </c>
      <c r="F6">
        <v>140</v>
      </c>
      <c r="G6">
        <v>1</v>
      </c>
      <c r="H6">
        <v>0.02</v>
      </c>
    </row>
    <row r="7" spans="1:15" x14ac:dyDescent="0.2">
      <c r="D7">
        <v>2</v>
      </c>
      <c r="E7" t="s">
        <v>494</v>
      </c>
      <c r="F7" t="s">
        <v>495</v>
      </c>
      <c r="H7">
        <v>1</v>
      </c>
      <c r="J7" s="485" t="s">
        <v>524</v>
      </c>
      <c r="K7" s="485"/>
      <c r="L7" s="485"/>
    </row>
    <row r="8" spans="1:15" x14ac:dyDescent="0.2">
      <c r="D8">
        <v>3</v>
      </c>
      <c r="E8" t="s">
        <v>495</v>
      </c>
      <c r="F8" t="s">
        <v>496</v>
      </c>
      <c r="H8">
        <v>1</v>
      </c>
      <c r="J8" s="416" t="s">
        <v>518</v>
      </c>
      <c r="K8" s="416" t="s">
        <v>518</v>
      </c>
      <c r="L8" s="416" t="s">
        <v>518</v>
      </c>
    </row>
    <row r="9" spans="1:15" x14ac:dyDescent="0.2">
      <c r="D9">
        <v>3</v>
      </c>
      <c r="E9" t="s">
        <v>495</v>
      </c>
      <c r="F9" t="s">
        <v>497</v>
      </c>
      <c r="H9">
        <v>1</v>
      </c>
    </row>
  </sheetData>
  <mergeCells count="5">
    <mergeCell ref="A1:B1"/>
    <mergeCell ref="D1:H1"/>
    <mergeCell ref="J1:L1"/>
    <mergeCell ref="J4:L4"/>
    <mergeCell ref="J7:L7"/>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167B8-06C0-4D48-A614-A33A623483F1}">
  <sheetPr codeName="Tabelle9">
    <tabColor theme="4"/>
  </sheetPr>
  <dimension ref="A1:G52"/>
  <sheetViews>
    <sheetView tabSelected="1" workbookViewId="0">
      <selection activeCell="C15" sqref="C15"/>
    </sheetView>
  </sheetViews>
  <sheetFormatPr baseColWidth="10" defaultRowHeight="12.75" x14ac:dyDescent="0.2"/>
  <cols>
    <col min="1" max="1" width="22.7109375" bestFit="1" customWidth="1"/>
    <col min="2" max="2" width="34.7109375" style="406" customWidth="1"/>
    <col min="3" max="3" width="27.5703125" customWidth="1"/>
    <col min="4" max="4" width="23.5703125" customWidth="1"/>
    <col min="5" max="5" width="37.7109375" bestFit="1" customWidth="1"/>
    <col min="6" max="6" width="23" customWidth="1"/>
    <col min="255" max="255" width="22.7109375" bestFit="1" customWidth="1"/>
    <col min="256" max="256" width="34.7109375" customWidth="1"/>
    <col min="257" max="257" width="15.28515625" customWidth="1"/>
    <col min="258" max="258" width="23.5703125" customWidth="1"/>
    <col min="259" max="259" width="30" bestFit="1" customWidth="1"/>
    <col min="260" max="260" width="23" customWidth="1"/>
    <col min="261" max="261" width="13.140625" customWidth="1"/>
    <col min="262" max="262" width="20.7109375" customWidth="1"/>
    <col min="511" max="511" width="22.7109375" bestFit="1" customWidth="1"/>
    <col min="512" max="512" width="34.7109375" customWidth="1"/>
    <col min="513" max="513" width="15.28515625" customWidth="1"/>
    <col min="514" max="514" width="23.5703125" customWidth="1"/>
    <col min="515" max="515" width="30" bestFit="1" customWidth="1"/>
    <col min="516" max="516" width="23" customWidth="1"/>
    <col min="517" max="517" width="13.140625" customWidth="1"/>
    <col min="518" max="518" width="20.7109375" customWidth="1"/>
    <col min="767" max="767" width="22.7109375" bestFit="1" customWidth="1"/>
    <col min="768" max="768" width="34.7109375" customWidth="1"/>
    <col min="769" max="769" width="15.28515625" customWidth="1"/>
    <col min="770" max="770" width="23.5703125" customWidth="1"/>
    <col min="771" max="771" width="30" bestFit="1" customWidth="1"/>
    <col min="772" max="772" width="23" customWidth="1"/>
    <col min="773" max="773" width="13.140625" customWidth="1"/>
    <col min="774" max="774" width="20.7109375" customWidth="1"/>
    <col min="1023" max="1023" width="22.7109375" bestFit="1" customWidth="1"/>
    <col min="1024" max="1024" width="34.7109375" customWidth="1"/>
    <col min="1025" max="1025" width="15.28515625" customWidth="1"/>
    <col min="1026" max="1026" width="23.5703125" customWidth="1"/>
    <col min="1027" max="1027" width="30" bestFit="1" customWidth="1"/>
    <col min="1028" max="1028" width="23" customWidth="1"/>
    <col min="1029" max="1029" width="13.140625" customWidth="1"/>
    <col min="1030" max="1030" width="20.7109375" customWidth="1"/>
    <col min="1279" max="1279" width="22.7109375" bestFit="1" customWidth="1"/>
    <col min="1280" max="1280" width="34.7109375" customWidth="1"/>
    <col min="1281" max="1281" width="15.28515625" customWidth="1"/>
    <col min="1282" max="1282" width="23.5703125" customWidth="1"/>
    <col min="1283" max="1283" width="30" bestFit="1" customWidth="1"/>
    <col min="1284" max="1284" width="23" customWidth="1"/>
    <col min="1285" max="1285" width="13.140625" customWidth="1"/>
    <col min="1286" max="1286" width="20.7109375" customWidth="1"/>
    <col min="1535" max="1535" width="22.7109375" bestFit="1" customWidth="1"/>
    <col min="1536" max="1536" width="34.7109375" customWidth="1"/>
    <col min="1537" max="1537" width="15.28515625" customWidth="1"/>
    <col min="1538" max="1538" width="23.5703125" customWidth="1"/>
    <col min="1539" max="1539" width="30" bestFit="1" customWidth="1"/>
    <col min="1540" max="1540" width="23" customWidth="1"/>
    <col min="1541" max="1541" width="13.140625" customWidth="1"/>
    <col min="1542" max="1542" width="20.7109375" customWidth="1"/>
    <col min="1791" max="1791" width="22.7109375" bestFit="1" customWidth="1"/>
    <col min="1792" max="1792" width="34.7109375" customWidth="1"/>
    <col min="1793" max="1793" width="15.28515625" customWidth="1"/>
    <col min="1794" max="1794" width="23.5703125" customWidth="1"/>
    <col min="1795" max="1795" width="30" bestFit="1" customWidth="1"/>
    <col min="1796" max="1796" width="23" customWidth="1"/>
    <col min="1797" max="1797" width="13.140625" customWidth="1"/>
    <col min="1798" max="1798" width="20.7109375" customWidth="1"/>
    <col min="2047" max="2047" width="22.7109375" bestFit="1" customWidth="1"/>
    <col min="2048" max="2048" width="34.7109375" customWidth="1"/>
    <col min="2049" max="2049" width="15.28515625" customWidth="1"/>
    <col min="2050" max="2050" width="23.5703125" customWidth="1"/>
    <col min="2051" max="2051" width="30" bestFit="1" customWidth="1"/>
    <col min="2052" max="2052" width="23" customWidth="1"/>
    <col min="2053" max="2053" width="13.140625" customWidth="1"/>
    <col min="2054" max="2054" width="20.7109375" customWidth="1"/>
    <col min="2303" max="2303" width="22.7109375" bestFit="1" customWidth="1"/>
    <col min="2304" max="2304" width="34.7109375" customWidth="1"/>
    <col min="2305" max="2305" width="15.28515625" customWidth="1"/>
    <col min="2306" max="2306" width="23.5703125" customWidth="1"/>
    <col min="2307" max="2307" width="30" bestFit="1" customWidth="1"/>
    <col min="2308" max="2308" width="23" customWidth="1"/>
    <col min="2309" max="2309" width="13.140625" customWidth="1"/>
    <col min="2310" max="2310" width="20.7109375" customWidth="1"/>
    <col min="2559" max="2559" width="22.7109375" bestFit="1" customWidth="1"/>
    <col min="2560" max="2560" width="34.7109375" customWidth="1"/>
    <col min="2561" max="2561" width="15.28515625" customWidth="1"/>
    <col min="2562" max="2562" width="23.5703125" customWidth="1"/>
    <col min="2563" max="2563" width="30" bestFit="1" customWidth="1"/>
    <col min="2564" max="2564" width="23" customWidth="1"/>
    <col min="2565" max="2565" width="13.140625" customWidth="1"/>
    <col min="2566" max="2566" width="20.7109375" customWidth="1"/>
    <col min="2815" max="2815" width="22.7109375" bestFit="1" customWidth="1"/>
    <col min="2816" max="2816" width="34.7109375" customWidth="1"/>
    <col min="2817" max="2817" width="15.28515625" customWidth="1"/>
    <col min="2818" max="2818" width="23.5703125" customWidth="1"/>
    <col min="2819" max="2819" width="30" bestFit="1" customWidth="1"/>
    <col min="2820" max="2820" width="23" customWidth="1"/>
    <col min="2821" max="2821" width="13.140625" customWidth="1"/>
    <col min="2822" max="2822" width="20.7109375" customWidth="1"/>
    <col min="3071" max="3071" width="22.7109375" bestFit="1" customWidth="1"/>
    <col min="3072" max="3072" width="34.7109375" customWidth="1"/>
    <col min="3073" max="3073" width="15.28515625" customWidth="1"/>
    <col min="3074" max="3074" width="23.5703125" customWidth="1"/>
    <col min="3075" max="3075" width="30" bestFit="1" customWidth="1"/>
    <col min="3076" max="3076" width="23" customWidth="1"/>
    <col min="3077" max="3077" width="13.140625" customWidth="1"/>
    <col min="3078" max="3078" width="20.7109375" customWidth="1"/>
    <col min="3327" max="3327" width="22.7109375" bestFit="1" customWidth="1"/>
    <col min="3328" max="3328" width="34.7109375" customWidth="1"/>
    <col min="3329" max="3329" width="15.28515625" customWidth="1"/>
    <col min="3330" max="3330" width="23.5703125" customWidth="1"/>
    <col min="3331" max="3331" width="30" bestFit="1" customWidth="1"/>
    <col min="3332" max="3332" width="23" customWidth="1"/>
    <col min="3333" max="3333" width="13.140625" customWidth="1"/>
    <col min="3334" max="3334" width="20.7109375" customWidth="1"/>
    <col min="3583" max="3583" width="22.7109375" bestFit="1" customWidth="1"/>
    <col min="3584" max="3584" width="34.7109375" customWidth="1"/>
    <col min="3585" max="3585" width="15.28515625" customWidth="1"/>
    <col min="3586" max="3586" width="23.5703125" customWidth="1"/>
    <col min="3587" max="3587" width="30" bestFit="1" customWidth="1"/>
    <col min="3588" max="3588" width="23" customWidth="1"/>
    <col min="3589" max="3589" width="13.140625" customWidth="1"/>
    <col min="3590" max="3590" width="20.7109375" customWidth="1"/>
    <col min="3839" max="3839" width="22.7109375" bestFit="1" customWidth="1"/>
    <col min="3840" max="3840" width="34.7109375" customWidth="1"/>
    <col min="3841" max="3841" width="15.28515625" customWidth="1"/>
    <col min="3842" max="3842" width="23.5703125" customWidth="1"/>
    <col min="3843" max="3843" width="30" bestFit="1" customWidth="1"/>
    <col min="3844" max="3844" width="23" customWidth="1"/>
    <col min="3845" max="3845" width="13.140625" customWidth="1"/>
    <col min="3846" max="3846" width="20.7109375" customWidth="1"/>
    <col min="4095" max="4095" width="22.7109375" bestFit="1" customWidth="1"/>
    <col min="4096" max="4096" width="34.7109375" customWidth="1"/>
    <col min="4097" max="4097" width="15.28515625" customWidth="1"/>
    <col min="4098" max="4098" width="23.5703125" customWidth="1"/>
    <col min="4099" max="4099" width="30" bestFit="1" customWidth="1"/>
    <col min="4100" max="4100" width="23" customWidth="1"/>
    <col min="4101" max="4101" width="13.140625" customWidth="1"/>
    <col min="4102" max="4102" width="20.7109375" customWidth="1"/>
    <col min="4351" max="4351" width="22.7109375" bestFit="1" customWidth="1"/>
    <col min="4352" max="4352" width="34.7109375" customWidth="1"/>
    <col min="4353" max="4353" width="15.28515625" customWidth="1"/>
    <col min="4354" max="4354" width="23.5703125" customWidth="1"/>
    <col min="4355" max="4355" width="30" bestFit="1" customWidth="1"/>
    <col min="4356" max="4356" width="23" customWidth="1"/>
    <col min="4357" max="4357" width="13.140625" customWidth="1"/>
    <col min="4358" max="4358" width="20.7109375" customWidth="1"/>
    <col min="4607" max="4607" width="22.7109375" bestFit="1" customWidth="1"/>
    <col min="4608" max="4608" width="34.7109375" customWidth="1"/>
    <col min="4609" max="4609" width="15.28515625" customWidth="1"/>
    <col min="4610" max="4610" width="23.5703125" customWidth="1"/>
    <col min="4611" max="4611" width="30" bestFit="1" customWidth="1"/>
    <col min="4612" max="4612" width="23" customWidth="1"/>
    <col min="4613" max="4613" width="13.140625" customWidth="1"/>
    <col min="4614" max="4614" width="20.7109375" customWidth="1"/>
    <col min="4863" max="4863" width="22.7109375" bestFit="1" customWidth="1"/>
    <col min="4864" max="4864" width="34.7109375" customWidth="1"/>
    <col min="4865" max="4865" width="15.28515625" customWidth="1"/>
    <col min="4866" max="4866" width="23.5703125" customWidth="1"/>
    <col min="4867" max="4867" width="30" bestFit="1" customWidth="1"/>
    <col min="4868" max="4868" width="23" customWidth="1"/>
    <col min="4869" max="4869" width="13.140625" customWidth="1"/>
    <col min="4870" max="4870" width="20.7109375" customWidth="1"/>
    <col min="5119" max="5119" width="22.7109375" bestFit="1" customWidth="1"/>
    <col min="5120" max="5120" width="34.7109375" customWidth="1"/>
    <col min="5121" max="5121" width="15.28515625" customWidth="1"/>
    <col min="5122" max="5122" width="23.5703125" customWidth="1"/>
    <col min="5123" max="5123" width="30" bestFit="1" customWidth="1"/>
    <col min="5124" max="5124" width="23" customWidth="1"/>
    <col min="5125" max="5125" width="13.140625" customWidth="1"/>
    <col min="5126" max="5126" width="20.7109375" customWidth="1"/>
    <col min="5375" max="5375" width="22.7109375" bestFit="1" customWidth="1"/>
    <col min="5376" max="5376" width="34.7109375" customWidth="1"/>
    <col min="5377" max="5377" width="15.28515625" customWidth="1"/>
    <col min="5378" max="5378" width="23.5703125" customWidth="1"/>
    <col min="5379" max="5379" width="30" bestFit="1" customWidth="1"/>
    <col min="5380" max="5380" width="23" customWidth="1"/>
    <col min="5381" max="5381" width="13.140625" customWidth="1"/>
    <col min="5382" max="5382" width="20.7109375" customWidth="1"/>
    <col min="5631" max="5631" width="22.7109375" bestFit="1" customWidth="1"/>
    <col min="5632" max="5632" width="34.7109375" customWidth="1"/>
    <col min="5633" max="5633" width="15.28515625" customWidth="1"/>
    <col min="5634" max="5634" width="23.5703125" customWidth="1"/>
    <col min="5635" max="5635" width="30" bestFit="1" customWidth="1"/>
    <col min="5636" max="5636" width="23" customWidth="1"/>
    <col min="5637" max="5637" width="13.140625" customWidth="1"/>
    <col min="5638" max="5638" width="20.7109375" customWidth="1"/>
    <col min="5887" max="5887" width="22.7109375" bestFit="1" customWidth="1"/>
    <col min="5888" max="5888" width="34.7109375" customWidth="1"/>
    <col min="5889" max="5889" width="15.28515625" customWidth="1"/>
    <col min="5890" max="5890" width="23.5703125" customWidth="1"/>
    <col min="5891" max="5891" width="30" bestFit="1" customWidth="1"/>
    <col min="5892" max="5892" width="23" customWidth="1"/>
    <col min="5893" max="5893" width="13.140625" customWidth="1"/>
    <col min="5894" max="5894" width="20.7109375" customWidth="1"/>
    <col min="6143" max="6143" width="22.7109375" bestFit="1" customWidth="1"/>
    <col min="6144" max="6144" width="34.7109375" customWidth="1"/>
    <col min="6145" max="6145" width="15.28515625" customWidth="1"/>
    <col min="6146" max="6146" width="23.5703125" customWidth="1"/>
    <col min="6147" max="6147" width="30" bestFit="1" customWidth="1"/>
    <col min="6148" max="6148" width="23" customWidth="1"/>
    <col min="6149" max="6149" width="13.140625" customWidth="1"/>
    <col min="6150" max="6150" width="20.7109375" customWidth="1"/>
    <col min="6399" max="6399" width="22.7109375" bestFit="1" customWidth="1"/>
    <col min="6400" max="6400" width="34.7109375" customWidth="1"/>
    <col min="6401" max="6401" width="15.28515625" customWidth="1"/>
    <col min="6402" max="6402" width="23.5703125" customWidth="1"/>
    <col min="6403" max="6403" width="30" bestFit="1" customWidth="1"/>
    <col min="6404" max="6404" width="23" customWidth="1"/>
    <col min="6405" max="6405" width="13.140625" customWidth="1"/>
    <col min="6406" max="6406" width="20.7109375" customWidth="1"/>
    <col min="6655" max="6655" width="22.7109375" bestFit="1" customWidth="1"/>
    <col min="6656" max="6656" width="34.7109375" customWidth="1"/>
    <col min="6657" max="6657" width="15.28515625" customWidth="1"/>
    <col min="6658" max="6658" width="23.5703125" customWidth="1"/>
    <col min="6659" max="6659" width="30" bestFit="1" customWidth="1"/>
    <col min="6660" max="6660" width="23" customWidth="1"/>
    <col min="6661" max="6661" width="13.140625" customWidth="1"/>
    <col min="6662" max="6662" width="20.7109375" customWidth="1"/>
    <col min="6911" max="6911" width="22.7109375" bestFit="1" customWidth="1"/>
    <col min="6912" max="6912" width="34.7109375" customWidth="1"/>
    <col min="6913" max="6913" width="15.28515625" customWidth="1"/>
    <col min="6914" max="6914" width="23.5703125" customWidth="1"/>
    <col min="6915" max="6915" width="30" bestFit="1" customWidth="1"/>
    <col min="6916" max="6916" width="23" customWidth="1"/>
    <col min="6917" max="6917" width="13.140625" customWidth="1"/>
    <col min="6918" max="6918" width="20.7109375" customWidth="1"/>
    <col min="7167" max="7167" width="22.7109375" bestFit="1" customWidth="1"/>
    <col min="7168" max="7168" width="34.7109375" customWidth="1"/>
    <col min="7169" max="7169" width="15.28515625" customWidth="1"/>
    <col min="7170" max="7170" width="23.5703125" customWidth="1"/>
    <col min="7171" max="7171" width="30" bestFit="1" customWidth="1"/>
    <col min="7172" max="7172" width="23" customWidth="1"/>
    <col min="7173" max="7173" width="13.140625" customWidth="1"/>
    <col min="7174" max="7174" width="20.7109375" customWidth="1"/>
    <col min="7423" max="7423" width="22.7109375" bestFit="1" customWidth="1"/>
    <col min="7424" max="7424" width="34.7109375" customWidth="1"/>
    <col min="7425" max="7425" width="15.28515625" customWidth="1"/>
    <col min="7426" max="7426" width="23.5703125" customWidth="1"/>
    <col min="7427" max="7427" width="30" bestFit="1" customWidth="1"/>
    <col min="7428" max="7428" width="23" customWidth="1"/>
    <col min="7429" max="7429" width="13.140625" customWidth="1"/>
    <col min="7430" max="7430" width="20.7109375" customWidth="1"/>
    <col min="7679" max="7679" width="22.7109375" bestFit="1" customWidth="1"/>
    <col min="7680" max="7680" width="34.7109375" customWidth="1"/>
    <col min="7681" max="7681" width="15.28515625" customWidth="1"/>
    <col min="7682" max="7682" width="23.5703125" customWidth="1"/>
    <col min="7683" max="7683" width="30" bestFit="1" customWidth="1"/>
    <col min="7684" max="7684" width="23" customWidth="1"/>
    <col min="7685" max="7685" width="13.140625" customWidth="1"/>
    <col min="7686" max="7686" width="20.7109375" customWidth="1"/>
    <col min="7935" max="7935" width="22.7109375" bestFit="1" customWidth="1"/>
    <col min="7936" max="7936" width="34.7109375" customWidth="1"/>
    <col min="7937" max="7937" width="15.28515625" customWidth="1"/>
    <col min="7938" max="7938" width="23.5703125" customWidth="1"/>
    <col min="7939" max="7939" width="30" bestFit="1" customWidth="1"/>
    <col min="7940" max="7940" width="23" customWidth="1"/>
    <col min="7941" max="7941" width="13.140625" customWidth="1"/>
    <col min="7942" max="7942" width="20.7109375" customWidth="1"/>
    <col min="8191" max="8191" width="22.7109375" bestFit="1" customWidth="1"/>
    <col min="8192" max="8192" width="34.7109375" customWidth="1"/>
    <col min="8193" max="8193" width="15.28515625" customWidth="1"/>
    <col min="8194" max="8194" width="23.5703125" customWidth="1"/>
    <col min="8195" max="8195" width="30" bestFit="1" customWidth="1"/>
    <col min="8196" max="8196" width="23" customWidth="1"/>
    <col min="8197" max="8197" width="13.140625" customWidth="1"/>
    <col min="8198" max="8198" width="20.7109375" customWidth="1"/>
    <col min="8447" max="8447" width="22.7109375" bestFit="1" customWidth="1"/>
    <col min="8448" max="8448" width="34.7109375" customWidth="1"/>
    <col min="8449" max="8449" width="15.28515625" customWidth="1"/>
    <col min="8450" max="8450" width="23.5703125" customWidth="1"/>
    <col min="8451" max="8451" width="30" bestFit="1" customWidth="1"/>
    <col min="8452" max="8452" width="23" customWidth="1"/>
    <col min="8453" max="8453" width="13.140625" customWidth="1"/>
    <col min="8454" max="8454" width="20.7109375" customWidth="1"/>
    <col min="8703" max="8703" width="22.7109375" bestFit="1" customWidth="1"/>
    <col min="8704" max="8704" width="34.7109375" customWidth="1"/>
    <col min="8705" max="8705" width="15.28515625" customWidth="1"/>
    <col min="8706" max="8706" width="23.5703125" customWidth="1"/>
    <col min="8707" max="8707" width="30" bestFit="1" customWidth="1"/>
    <col min="8708" max="8708" width="23" customWidth="1"/>
    <col min="8709" max="8709" width="13.140625" customWidth="1"/>
    <col min="8710" max="8710" width="20.7109375" customWidth="1"/>
    <col min="8959" max="8959" width="22.7109375" bestFit="1" customWidth="1"/>
    <col min="8960" max="8960" width="34.7109375" customWidth="1"/>
    <col min="8961" max="8961" width="15.28515625" customWidth="1"/>
    <col min="8962" max="8962" width="23.5703125" customWidth="1"/>
    <col min="8963" max="8963" width="30" bestFit="1" customWidth="1"/>
    <col min="8964" max="8964" width="23" customWidth="1"/>
    <col min="8965" max="8965" width="13.140625" customWidth="1"/>
    <col min="8966" max="8966" width="20.7109375" customWidth="1"/>
    <col min="9215" max="9215" width="22.7109375" bestFit="1" customWidth="1"/>
    <col min="9216" max="9216" width="34.7109375" customWidth="1"/>
    <col min="9217" max="9217" width="15.28515625" customWidth="1"/>
    <col min="9218" max="9218" width="23.5703125" customWidth="1"/>
    <col min="9219" max="9219" width="30" bestFit="1" customWidth="1"/>
    <col min="9220" max="9220" width="23" customWidth="1"/>
    <col min="9221" max="9221" width="13.140625" customWidth="1"/>
    <col min="9222" max="9222" width="20.7109375" customWidth="1"/>
    <col min="9471" max="9471" width="22.7109375" bestFit="1" customWidth="1"/>
    <col min="9472" max="9472" width="34.7109375" customWidth="1"/>
    <col min="9473" max="9473" width="15.28515625" customWidth="1"/>
    <col min="9474" max="9474" width="23.5703125" customWidth="1"/>
    <col min="9475" max="9475" width="30" bestFit="1" customWidth="1"/>
    <col min="9476" max="9476" width="23" customWidth="1"/>
    <col min="9477" max="9477" width="13.140625" customWidth="1"/>
    <col min="9478" max="9478" width="20.7109375" customWidth="1"/>
    <col min="9727" max="9727" width="22.7109375" bestFit="1" customWidth="1"/>
    <col min="9728" max="9728" width="34.7109375" customWidth="1"/>
    <col min="9729" max="9729" width="15.28515625" customWidth="1"/>
    <col min="9730" max="9730" width="23.5703125" customWidth="1"/>
    <col min="9731" max="9731" width="30" bestFit="1" customWidth="1"/>
    <col min="9732" max="9732" width="23" customWidth="1"/>
    <col min="9733" max="9733" width="13.140625" customWidth="1"/>
    <col min="9734" max="9734" width="20.7109375" customWidth="1"/>
    <col min="9983" max="9983" width="22.7109375" bestFit="1" customWidth="1"/>
    <col min="9984" max="9984" width="34.7109375" customWidth="1"/>
    <col min="9985" max="9985" width="15.28515625" customWidth="1"/>
    <col min="9986" max="9986" width="23.5703125" customWidth="1"/>
    <col min="9987" max="9987" width="30" bestFit="1" customWidth="1"/>
    <col min="9988" max="9988" width="23" customWidth="1"/>
    <col min="9989" max="9989" width="13.140625" customWidth="1"/>
    <col min="9990" max="9990" width="20.7109375" customWidth="1"/>
    <col min="10239" max="10239" width="22.7109375" bestFit="1" customWidth="1"/>
    <col min="10240" max="10240" width="34.7109375" customWidth="1"/>
    <col min="10241" max="10241" width="15.28515625" customWidth="1"/>
    <col min="10242" max="10242" width="23.5703125" customWidth="1"/>
    <col min="10243" max="10243" width="30" bestFit="1" customWidth="1"/>
    <col min="10244" max="10244" width="23" customWidth="1"/>
    <col min="10245" max="10245" width="13.140625" customWidth="1"/>
    <col min="10246" max="10246" width="20.7109375" customWidth="1"/>
    <col min="10495" max="10495" width="22.7109375" bestFit="1" customWidth="1"/>
    <col min="10496" max="10496" width="34.7109375" customWidth="1"/>
    <col min="10497" max="10497" width="15.28515625" customWidth="1"/>
    <col min="10498" max="10498" width="23.5703125" customWidth="1"/>
    <col min="10499" max="10499" width="30" bestFit="1" customWidth="1"/>
    <col min="10500" max="10500" width="23" customWidth="1"/>
    <col min="10501" max="10501" width="13.140625" customWidth="1"/>
    <col min="10502" max="10502" width="20.7109375" customWidth="1"/>
    <col min="10751" max="10751" width="22.7109375" bestFit="1" customWidth="1"/>
    <col min="10752" max="10752" width="34.7109375" customWidth="1"/>
    <col min="10753" max="10753" width="15.28515625" customWidth="1"/>
    <col min="10754" max="10754" width="23.5703125" customWidth="1"/>
    <col min="10755" max="10755" width="30" bestFit="1" customWidth="1"/>
    <col min="10756" max="10756" width="23" customWidth="1"/>
    <col min="10757" max="10757" width="13.140625" customWidth="1"/>
    <col min="10758" max="10758" width="20.7109375" customWidth="1"/>
    <col min="11007" max="11007" width="22.7109375" bestFit="1" customWidth="1"/>
    <col min="11008" max="11008" width="34.7109375" customWidth="1"/>
    <col min="11009" max="11009" width="15.28515625" customWidth="1"/>
    <col min="11010" max="11010" width="23.5703125" customWidth="1"/>
    <col min="11011" max="11011" width="30" bestFit="1" customWidth="1"/>
    <col min="11012" max="11012" width="23" customWidth="1"/>
    <col min="11013" max="11013" width="13.140625" customWidth="1"/>
    <col min="11014" max="11014" width="20.7109375" customWidth="1"/>
    <col min="11263" max="11263" width="22.7109375" bestFit="1" customWidth="1"/>
    <col min="11264" max="11264" width="34.7109375" customWidth="1"/>
    <col min="11265" max="11265" width="15.28515625" customWidth="1"/>
    <col min="11266" max="11266" width="23.5703125" customWidth="1"/>
    <col min="11267" max="11267" width="30" bestFit="1" customWidth="1"/>
    <col min="11268" max="11268" width="23" customWidth="1"/>
    <col min="11269" max="11269" width="13.140625" customWidth="1"/>
    <col min="11270" max="11270" width="20.7109375" customWidth="1"/>
    <col min="11519" max="11519" width="22.7109375" bestFit="1" customWidth="1"/>
    <col min="11520" max="11520" width="34.7109375" customWidth="1"/>
    <col min="11521" max="11521" width="15.28515625" customWidth="1"/>
    <col min="11522" max="11522" width="23.5703125" customWidth="1"/>
    <col min="11523" max="11523" width="30" bestFit="1" customWidth="1"/>
    <col min="11524" max="11524" width="23" customWidth="1"/>
    <col min="11525" max="11525" width="13.140625" customWidth="1"/>
    <col min="11526" max="11526" width="20.7109375" customWidth="1"/>
    <col min="11775" max="11775" width="22.7109375" bestFit="1" customWidth="1"/>
    <col min="11776" max="11776" width="34.7109375" customWidth="1"/>
    <col min="11777" max="11777" width="15.28515625" customWidth="1"/>
    <col min="11778" max="11778" width="23.5703125" customWidth="1"/>
    <col min="11779" max="11779" width="30" bestFit="1" customWidth="1"/>
    <col min="11780" max="11780" width="23" customWidth="1"/>
    <col min="11781" max="11781" width="13.140625" customWidth="1"/>
    <col min="11782" max="11782" width="20.7109375" customWidth="1"/>
    <col min="12031" max="12031" width="22.7109375" bestFit="1" customWidth="1"/>
    <col min="12032" max="12032" width="34.7109375" customWidth="1"/>
    <col min="12033" max="12033" width="15.28515625" customWidth="1"/>
    <col min="12034" max="12034" width="23.5703125" customWidth="1"/>
    <col min="12035" max="12035" width="30" bestFit="1" customWidth="1"/>
    <col min="12036" max="12036" width="23" customWidth="1"/>
    <col min="12037" max="12037" width="13.140625" customWidth="1"/>
    <col min="12038" max="12038" width="20.7109375" customWidth="1"/>
    <col min="12287" max="12287" width="22.7109375" bestFit="1" customWidth="1"/>
    <col min="12288" max="12288" width="34.7109375" customWidth="1"/>
    <col min="12289" max="12289" width="15.28515625" customWidth="1"/>
    <col min="12290" max="12290" width="23.5703125" customWidth="1"/>
    <col min="12291" max="12291" width="30" bestFit="1" customWidth="1"/>
    <col min="12292" max="12292" width="23" customWidth="1"/>
    <col min="12293" max="12293" width="13.140625" customWidth="1"/>
    <col min="12294" max="12294" width="20.7109375" customWidth="1"/>
    <col min="12543" max="12543" width="22.7109375" bestFit="1" customWidth="1"/>
    <col min="12544" max="12544" width="34.7109375" customWidth="1"/>
    <col min="12545" max="12545" width="15.28515625" customWidth="1"/>
    <col min="12546" max="12546" width="23.5703125" customWidth="1"/>
    <col min="12547" max="12547" width="30" bestFit="1" customWidth="1"/>
    <col min="12548" max="12548" width="23" customWidth="1"/>
    <col min="12549" max="12549" width="13.140625" customWidth="1"/>
    <col min="12550" max="12550" width="20.7109375" customWidth="1"/>
    <col min="12799" max="12799" width="22.7109375" bestFit="1" customWidth="1"/>
    <col min="12800" max="12800" width="34.7109375" customWidth="1"/>
    <col min="12801" max="12801" width="15.28515625" customWidth="1"/>
    <col min="12802" max="12802" width="23.5703125" customWidth="1"/>
    <col min="12803" max="12803" width="30" bestFit="1" customWidth="1"/>
    <col min="12804" max="12804" width="23" customWidth="1"/>
    <col min="12805" max="12805" width="13.140625" customWidth="1"/>
    <col min="12806" max="12806" width="20.7109375" customWidth="1"/>
    <col min="13055" max="13055" width="22.7109375" bestFit="1" customWidth="1"/>
    <col min="13056" max="13056" width="34.7109375" customWidth="1"/>
    <col min="13057" max="13057" width="15.28515625" customWidth="1"/>
    <col min="13058" max="13058" width="23.5703125" customWidth="1"/>
    <col min="13059" max="13059" width="30" bestFit="1" customWidth="1"/>
    <col min="13060" max="13060" width="23" customWidth="1"/>
    <col min="13061" max="13061" width="13.140625" customWidth="1"/>
    <col min="13062" max="13062" width="20.7109375" customWidth="1"/>
    <col min="13311" max="13311" width="22.7109375" bestFit="1" customWidth="1"/>
    <col min="13312" max="13312" width="34.7109375" customWidth="1"/>
    <col min="13313" max="13313" width="15.28515625" customWidth="1"/>
    <col min="13314" max="13314" width="23.5703125" customWidth="1"/>
    <col min="13315" max="13315" width="30" bestFit="1" customWidth="1"/>
    <col min="13316" max="13316" width="23" customWidth="1"/>
    <col min="13317" max="13317" width="13.140625" customWidth="1"/>
    <col min="13318" max="13318" width="20.7109375" customWidth="1"/>
    <col min="13567" max="13567" width="22.7109375" bestFit="1" customWidth="1"/>
    <col min="13568" max="13568" width="34.7109375" customWidth="1"/>
    <col min="13569" max="13569" width="15.28515625" customWidth="1"/>
    <col min="13570" max="13570" width="23.5703125" customWidth="1"/>
    <col min="13571" max="13571" width="30" bestFit="1" customWidth="1"/>
    <col min="13572" max="13572" width="23" customWidth="1"/>
    <col min="13573" max="13573" width="13.140625" customWidth="1"/>
    <col min="13574" max="13574" width="20.7109375" customWidth="1"/>
    <col min="13823" max="13823" width="22.7109375" bestFit="1" customWidth="1"/>
    <col min="13824" max="13824" width="34.7109375" customWidth="1"/>
    <col min="13825" max="13825" width="15.28515625" customWidth="1"/>
    <col min="13826" max="13826" width="23.5703125" customWidth="1"/>
    <col min="13827" max="13827" width="30" bestFit="1" customWidth="1"/>
    <col min="13828" max="13828" width="23" customWidth="1"/>
    <col min="13829" max="13829" width="13.140625" customWidth="1"/>
    <col min="13830" max="13830" width="20.7109375" customWidth="1"/>
    <col min="14079" max="14079" width="22.7109375" bestFit="1" customWidth="1"/>
    <col min="14080" max="14080" width="34.7109375" customWidth="1"/>
    <col min="14081" max="14081" width="15.28515625" customWidth="1"/>
    <col min="14082" max="14082" width="23.5703125" customWidth="1"/>
    <col min="14083" max="14083" width="30" bestFit="1" customWidth="1"/>
    <col min="14084" max="14084" width="23" customWidth="1"/>
    <col min="14085" max="14085" width="13.140625" customWidth="1"/>
    <col min="14086" max="14086" width="20.7109375" customWidth="1"/>
    <col min="14335" max="14335" width="22.7109375" bestFit="1" customWidth="1"/>
    <col min="14336" max="14336" width="34.7109375" customWidth="1"/>
    <col min="14337" max="14337" width="15.28515625" customWidth="1"/>
    <col min="14338" max="14338" width="23.5703125" customWidth="1"/>
    <col min="14339" max="14339" width="30" bestFit="1" customWidth="1"/>
    <col min="14340" max="14340" width="23" customWidth="1"/>
    <col min="14341" max="14341" width="13.140625" customWidth="1"/>
    <col min="14342" max="14342" width="20.7109375" customWidth="1"/>
    <col min="14591" max="14591" width="22.7109375" bestFit="1" customWidth="1"/>
    <col min="14592" max="14592" width="34.7109375" customWidth="1"/>
    <col min="14593" max="14593" width="15.28515625" customWidth="1"/>
    <col min="14594" max="14594" width="23.5703125" customWidth="1"/>
    <col min="14595" max="14595" width="30" bestFit="1" customWidth="1"/>
    <col min="14596" max="14596" width="23" customWidth="1"/>
    <col min="14597" max="14597" width="13.140625" customWidth="1"/>
    <col min="14598" max="14598" width="20.7109375" customWidth="1"/>
    <col min="14847" max="14847" width="22.7109375" bestFit="1" customWidth="1"/>
    <col min="14848" max="14848" width="34.7109375" customWidth="1"/>
    <col min="14849" max="14849" width="15.28515625" customWidth="1"/>
    <col min="14850" max="14850" width="23.5703125" customWidth="1"/>
    <col min="14851" max="14851" width="30" bestFit="1" customWidth="1"/>
    <col min="14852" max="14852" width="23" customWidth="1"/>
    <col min="14853" max="14853" width="13.140625" customWidth="1"/>
    <col min="14854" max="14854" width="20.7109375" customWidth="1"/>
    <col min="15103" max="15103" width="22.7109375" bestFit="1" customWidth="1"/>
    <col min="15104" max="15104" width="34.7109375" customWidth="1"/>
    <col min="15105" max="15105" width="15.28515625" customWidth="1"/>
    <col min="15106" max="15106" width="23.5703125" customWidth="1"/>
    <col min="15107" max="15107" width="30" bestFit="1" customWidth="1"/>
    <col min="15108" max="15108" width="23" customWidth="1"/>
    <col min="15109" max="15109" width="13.140625" customWidth="1"/>
    <col min="15110" max="15110" width="20.7109375" customWidth="1"/>
    <col min="15359" max="15359" width="22.7109375" bestFit="1" customWidth="1"/>
    <col min="15360" max="15360" width="34.7109375" customWidth="1"/>
    <col min="15361" max="15361" width="15.28515625" customWidth="1"/>
    <col min="15362" max="15362" width="23.5703125" customWidth="1"/>
    <col min="15363" max="15363" width="30" bestFit="1" customWidth="1"/>
    <col min="15364" max="15364" width="23" customWidth="1"/>
    <col min="15365" max="15365" width="13.140625" customWidth="1"/>
    <col min="15366" max="15366" width="20.7109375" customWidth="1"/>
    <col min="15615" max="15615" width="22.7109375" bestFit="1" customWidth="1"/>
    <col min="15616" max="15616" width="34.7109375" customWidth="1"/>
    <col min="15617" max="15617" width="15.28515625" customWidth="1"/>
    <col min="15618" max="15618" width="23.5703125" customWidth="1"/>
    <col min="15619" max="15619" width="30" bestFit="1" customWidth="1"/>
    <col min="15620" max="15620" width="23" customWidth="1"/>
    <col min="15621" max="15621" width="13.140625" customWidth="1"/>
    <col min="15622" max="15622" width="20.7109375" customWidth="1"/>
    <col min="15871" max="15871" width="22.7109375" bestFit="1" customWidth="1"/>
    <col min="15872" max="15872" width="34.7109375" customWidth="1"/>
    <col min="15873" max="15873" width="15.28515625" customWidth="1"/>
    <col min="15874" max="15874" width="23.5703125" customWidth="1"/>
    <col min="15875" max="15875" width="30" bestFit="1" customWidth="1"/>
    <col min="15876" max="15876" width="23" customWidth="1"/>
    <col min="15877" max="15877" width="13.140625" customWidth="1"/>
    <col min="15878" max="15878" width="20.7109375" customWidth="1"/>
    <col min="16127" max="16127" width="22.7109375" bestFit="1" customWidth="1"/>
    <col min="16128" max="16128" width="34.7109375" customWidth="1"/>
    <col min="16129" max="16129" width="15.28515625" customWidth="1"/>
    <col min="16130" max="16130" width="23.5703125" customWidth="1"/>
    <col min="16131" max="16131" width="30" bestFit="1" customWidth="1"/>
    <col min="16132" max="16132" width="23" customWidth="1"/>
    <col min="16133" max="16133" width="13.140625" customWidth="1"/>
    <col min="16134" max="16134" width="20.7109375" customWidth="1"/>
  </cols>
  <sheetData>
    <row r="1" spans="1:7" x14ac:dyDescent="0.2">
      <c r="A1" s="245" t="s">
        <v>525</v>
      </c>
      <c r="B1" s="404" t="s">
        <v>526</v>
      </c>
      <c r="C1" s="245" t="s">
        <v>453</v>
      </c>
      <c r="D1" s="245" t="s">
        <v>454</v>
      </c>
      <c r="E1" s="245" t="s">
        <v>455</v>
      </c>
      <c r="F1" s="245" t="s">
        <v>456</v>
      </c>
      <c r="G1" s="245" t="s">
        <v>523</v>
      </c>
    </row>
    <row r="2" spans="1:7" x14ac:dyDescent="0.2">
      <c r="A2" s="325" t="s">
        <v>458</v>
      </c>
      <c r="B2" t="s">
        <v>522</v>
      </c>
      <c r="C2" s="325" t="s">
        <v>503</v>
      </c>
      <c r="D2" t="s">
        <v>457</v>
      </c>
      <c r="E2" s="325" t="s">
        <v>502</v>
      </c>
    </row>
    <row r="3" spans="1:7" x14ac:dyDescent="0.2">
      <c r="A3" s="325" t="s">
        <v>458</v>
      </c>
      <c r="B3" s="325" t="s">
        <v>507</v>
      </c>
      <c r="C3" s="325" t="s">
        <v>508</v>
      </c>
      <c r="D3" t="s">
        <v>459</v>
      </c>
      <c r="E3" s="325" t="s">
        <v>270</v>
      </c>
    </row>
    <row r="4" spans="1:7" x14ac:dyDescent="0.2">
      <c r="A4" s="325" t="s">
        <v>458</v>
      </c>
      <c r="B4" s="406" t="s">
        <v>519</v>
      </c>
      <c r="C4" s="325" t="s">
        <v>504</v>
      </c>
      <c r="D4" t="s">
        <v>459</v>
      </c>
      <c r="E4" s="325" t="s">
        <v>272</v>
      </c>
      <c r="G4" s="419"/>
    </row>
    <row r="5" spans="1:7" x14ac:dyDescent="0.2">
      <c r="A5" s="325" t="s">
        <v>458</v>
      </c>
      <c r="B5" s="406" t="s">
        <v>520</v>
      </c>
      <c r="C5" s="325" t="s">
        <v>505</v>
      </c>
      <c r="D5" t="s">
        <v>459</v>
      </c>
      <c r="E5" t="s">
        <v>274</v>
      </c>
      <c r="G5" s="418"/>
    </row>
    <row r="6" spans="1:7" x14ac:dyDescent="0.2">
      <c r="A6" s="325" t="s">
        <v>458</v>
      </c>
      <c r="B6" s="406" t="s">
        <v>521</v>
      </c>
      <c r="C6" s="325" t="s">
        <v>506</v>
      </c>
      <c r="D6" t="s">
        <v>459</v>
      </c>
      <c r="E6" t="s">
        <v>275</v>
      </c>
      <c r="G6" s="418"/>
    </row>
    <row r="7" spans="1:7" x14ac:dyDescent="0.2">
      <c r="A7" s="409" t="s">
        <v>468</v>
      </c>
      <c r="B7" s="406" t="s">
        <v>469</v>
      </c>
      <c r="C7" s="325" t="s">
        <v>472</v>
      </c>
      <c r="D7" t="s">
        <v>457</v>
      </c>
      <c r="E7" s="325" t="s">
        <v>471</v>
      </c>
      <c r="G7" s="418" t="s">
        <v>528</v>
      </c>
    </row>
    <row r="8" spans="1:7" x14ac:dyDescent="0.2">
      <c r="A8" s="409" t="s">
        <v>468</v>
      </c>
      <c r="B8" s="405" t="s">
        <v>470</v>
      </c>
      <c r="C8" s="325" t="s">
        <v>473</v>
      </c>
      <c r="D8" t="s">
        <v>457</v>
      </c>
      <c r="E8" s="325" t="s">
        <v>471</v>
      </c>
      <c r="G8" t="s">
        <v>529</v>
      </c>
    </row>
    <row r="9" spans="1:7" x14ac:dyDescent="0.2">
      <c r="A9" s="409" t="s">
        <v>478</v>
      </c>
      <c r="B9" s="406" t="s">
        <v>469</v>
      </c>
      <c r="C9" s="325" t="s">
        <v>474</v>
      </c>
      <c r="D9" t="s">
        <v>457</v>
      </c>
      <c r="E9" s="325" t="s">
        <v>481</v>
      </c>
      <c r="G9" s="418" t="s">
        <v>530</v>
      </c>
    </row>
    <row r="10" spans="1:7" x14ac:dyDescent="0.2">
      <c r="A10" s="409" t="s">
        <v>478</v>
      </c>
      <c r="B10" s="405" t="s">
        <v>470</v>
      </c>
      <c r="C10" s="325" t="s">
        <v>475</v>
      </c>
      <c r="D10" t="s">
        <v>457</v>
      </c>
      <c r="E10" s="325" t="s">
        <v>481</v>
      </c>
      <c r="G10" t="s">
        <v>531</v>
      </c>
    </row>
    <row r="11" spans="1:7" x14ac:dyDescent="0.2">
      <c r="A11" s="409" t="s">
        <v>479</v>
      </c>
      <c r="B11" s="406" t="s">
        <v>469</v>
      </c>
      <c r="C11" s="325" t="s">
        <v>476</v>
      </c>
      <c r="D11" t="s">
        <v>457</v>
      </c>
      <c r="E11" s="325" t="s">
        <v>482</v>
      </c>
      <c r="G11" s="418" t="s">
        <v>532</v>
      </c>
    </row>
    <row r="12" spans="1:7" x14ac:dyDescent="0.2">
      <c r="A12" s="409" t="s">
        <v>479</v>
      </c>
      <c r="B12" s="405" t="s">
        <v>470</v>
      </c>
      <c r="C12" s="325" t="s">
        <v>477</v>
      </c>
      <c r="D12" t="s">
        <v>457</v>
      </c>
      <c r="E12" s="325" t="s">
        <v>482</v>
      </c>
      <c r="G12" t="s">
        <v>533</v>
      </c>
    </row>
    <row r="13" spans="1:7" x14ac:dyDescent="0.2">
      <c r="A13" s="409" t="s">
        <v>480</v>
      </c>
      <c r="B13" s="406" t="s">
        <v>469</v>
      </c>
      <c r="C13" s="325" t="s">
        <v>485</v>
      </c>
      <c r="D13" t="s">
        <v>457</v>
      </c>
      <c r="E13" s="325" t="s">
        <v>483</v>
      </c>
      <c r="G13" s="418" t="s">
        <v>534</v>
      </c>
    </row>
    <row r="14" spans="1:7" x14ac:dyDescent="0.2">
      <c r="A14" s="409" t="s">
        <v>480</v>
      </c>
      <c r="B14" s="405" t="s">
        <v>470</v>
      </c>
      <c r="C14" s="325" t="s">
        <v>486</v>
      </c>
      <c r="D14" t="s">
        <v>457</v>
      </c>
      <c r="E14" s="325" t="s">
        <v>483</v>
      </c>
      <c r="G14" t="s">
        <v>535</v>
      </c>
    </row>
    <row r="15" spans="1:7" x14ac:dyDescent="0.2">
      <c r="A15" s="409" t="s">
        <v>499</v>
      </c>
      <c r="B15" s="405" t="s">
        <v>509</v>
      </c>
      <c r="C15" s="325" t="s">
        <v>501</v>
      </c>
      <c r="D15" t="s">
        <v>457</v>
      </c>
      <c r="E15" s="325" t="s">
        <v>500</v>
      </c>
      <c r="G15" t="s">
        <v>527</v>
      </c>
    </row>
    <row r="16" spans="1:7" x14ac:dyDescent="0.2">
      <c r="A16" s="415"/>
      <c r="B16" s="415"/>
      <c r="C16" s="415"/>
      <c r="D16" s="415"/>
      <c r="E16" s="415"/>
    </row>
    <row r="17" spans="1:5" x14ac:dyDescent="0.2">
      <c r="A17" s="415"/>
      <c r="B17" s="415"/>
      <c r="C17" s="415"/>
      <c r="D17" s="415"/>
      <c r="E17" s="415"/>
    </row>
    <row r="18" spans="1:5" x14ac:dyDescent="0.2">
      <c r="A18" s="415"/>
      <c r="B18" s="415"/>
      <c r="C18" s="415"/>
      <c r="D18" s="415"/>
      <c r="E18" s="415"/>
    </row>
    <row r="19" spans="1:5" x14ac:dyDescent="0.2">
      <c r="A19" s="415"/>
      <c r="B19" s="415"/>
      <c r="C19" s="415"/>
      <c r="D19" s="415"/>
      <c r="E19" s="415"/>
    </row>
    <row r="20" spans="1:5" x14ac:dyDescent="0.2">
      <c r="A20" s="415"/>
      <c r="B20" s="415"/>
      <c r="C20" s="415"/>
      <c r="D20" s="415"/>
      <c r="E20" s="415"/>
    </row>
    <row r="21" spans="1:5" x14ac:dyDescent="0.2">
      <c r="A21" s="415"/>
      <c r="B21" s="415"/>
      <c r="C21" s="415"/>
      <c r="D21" s="415"/>
      <c r="E21" s="415"/>
    </row>
    <row r="22" spans="1:5" x14ac:dyDescent="0.2">
      <c r="A22" s="415"/>
      <c r="B22" s="415"/>
      <c r="C22" s="415"/>
      <c r="D22" s="415"/>
      <c r="E22" s="415"/>
    </row>
    <row r="23" spans="1:5" x14ac:dyDescent="0.2">
      <c r="A23" s="415"/>
      <c r="B23" s="415"/>
      <c r="C23" s="415"/>
      <c r="D23" s="415"/>
      <c r="E23" s="415"/>
    </row>
    <row r="24" spans="1:5" x14ac:dyDescent="0.2">
      <c r="A24" s="409"/>
      <c r="B24"/>
      <c r="C24" s="325"/>
    </row>
    <row r="25" spans="1:5" x14ac:dyDescent="0.2">
      <c r="A25" s="409"/>
      <c r="B25"/>
      <c r="C25" s="325"/>
    </row>
    <row r="26" spans="1:5" x14ac:dyDescent="0.2">
      <c r="A26" s="409"/>
      <c r="B26"/>
      <c r="C26" s="325"/>
    </row>
    <row r="27" spans="1:5" x14ac:dyDescent="0.2">
      <c r="A27" s="409"/>
      <c r="B27"/>
      <c r="C27" s="325"/>
    </row>
    <row r="28" spans="1:5" x14ac:dyDescent="0.2">
      <c r="A28" s="409"/>
      <c r="B28"/>
      <c r="C28" s="325"/>
    </row>
    <row r="29" spans="1:5" x14ac:dyDescent="0.2">
      <c r="A29" s="409"/>
      <c r="B29"/>
    </row>
    <row r="30" spans="1:5" x14ac:dyDescent="0.2">
      <c r="A30" s="409"/>
      <c r="B30"/>
    </row>
    <row r="31" spans="1:5" x14ac:dyDescent="0.2">
      <c r="A31" s="409"/>
      <c r="B31"/>
    </row>
    <row r="32" spans="1:5" x14ac:dyDescent="0.2">
      <c r="A32" s="409"/>
      <c r="B32"/>
    </row>
    <row r="33" spans="1:2" x14ac:dyDescent="0.2">
      <c r="A33" s="409"/>
      <c r="B33"/>
    </row>
    <row r="34" spans="1:2" x14ac:dyDescent="0.2">
      <c r="A34" s="409"/>
      <c r="B34"/>
    </row>
    <row r="35" spans="1:2" x14ac:dyDescent="0.2">
      <c r="A35" s="409"/>
      <c r="B35"/>
    </row>
    <row r="36" spans="1:2" x14ac:dyDescent="0.2">
      <c r="A36" s="409"/>
      <c r="B36"/>
    </row>
    <row r="37" spans="1:2" x14ac:dyDescent="0.2">
      <c r="A37" s="409"/>
      <c r="B37"/>
    </row>
    <row r="38" spans="1:2" x14ac:dyDescent="0.2">
      <c r="A38" s="409"/>
      <c r="B38"/>
    </row>
    <row r="39" spans="1:2" x14ac:dyDescent="0.2">
      <c r="A39" s="409"/>
      <c r="B39"/>
    </row>
    <row r="40" spans="1:2" x14ac:dyDescent="0.2">
      <c r="A40" s="409"/>
      <c r="B40"/>
    </row>
    <row r="41" spans="1:2" x14ac:dyDescent="0.2">
      <c r="A41" s="409"/>
      <c r="B41"/>
    </row>
    <row r="42" spans="1:2" x14ac:dyDescent="0.2">
      <c r="A42" s="409"/>
      <c r="B42"/>
    </row>
    <row r="43" spans="1:2" x14ac:dyDescent="0.2">
      <c r="A43" s="409"/>
      <c r="B43"/>
    </row>
    <row r="44" spans="1:2" x14ac:dyDescent="0.2">
      <c r="A44" s="409"/>
      <c r="B44"/>
    </row>
    <row r="45" spans="1:2" x14ac:dyDescent="0.2">
      <c r="A45" s="409"/>
      <c r="B45"/>
    </row>
    <row r="46" spans="1:2" x14ac:dyDescent="0.2">
      <c r="A46" s="409"/>
      <c r="B46"/>
    </row>
    <row r="47" spans="1:2" x14ac:dyDescent="0.2">
      <c r="A47" s="409"/>
      <c r="B47"/>
    </row>
    <row r="48" spans="1:2" x14ac:dyDescent="0.2">
      <c r="A48" s="409"/>
      <c r="B48"/>
    </row>
    <row r="49" spans="1:2" x14ac:dyDescent="0.2">
      <c r="A49" s="409"/>
      <c r="B49"/>
    </row>
    <row r="50" spans="1:2" x14ac:dyDescent="0.2">
      <c r="A50" s="409"/>
      <c r="B50"/>
    </row>
    <row r="51" spans="1:2" x14ac:dyDescent="0.2">
      <c r="A51" s="409"/>
      <c r="B51"/>
    </row>
    <row r="52" spans="1:2" x14ac:dyDescent="0.2">
      <c r="A52" s="409"/>
      <c r="B52"/>
    </row>
  </sheetData>
  <phoneticPr fontId="2" type="noConversion"/>
  <pageMargins left="0.7" right="0.7" top="0.78740157499999996" bottom="0.78740157499999996"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5021F-BDE5-49C7-8C54-DEF4D24EEF3D}">
  <sheetPr codeName="Tabelle10">
    <tabColor theme="4"/>
  </sheetPr>
  <dimension ref="A1:E3"/>
  <sheetViews>
    <sheetView zoomScale="115" zoomScaleNormal="115" workbookViewId="0">
      <selection activeCell="C3" sqref="C3"/>
    </sheetView>
  </sheetViews>
  <sheetFormatPr baseColWidth="10" defaultRowHeight="12.75" x14ac:dyDescent="0.2"/>
  <cols>
    <col min="1" max="1" width="83.140625" customWidth="1"/>
    <col min="2" max="2" width="30.28515625" style="410" bestFit="1" customWidth="1"/>
    <col min="3" max="3" width="19.85546875" style="410" customWidth="1"/>
    <col min="4" max="4" width="85.7109375" style="410" bestFit="1" customWidth="1"/>
  </cols>
  <sheetData>
    <row r="1" spans="1:5" ht="15" x14ac:dyDescent="0.25">
      <c r="A1" s="407" t="s">
        <v>460</v>
      </c>
      <c r="B1" s="411" t="s">
        <v>461</v>
      </c>
      <c r="C1" s="411" t="s">
        <v>462</v>
      </c>
      <c r="D1" s="411" t="s">
        <v>463</v>
      </c>
    </row>
    <row r="2" spans="1:5" x14ac:dyDescent="0.2">
      <c r="A2" t="s">
        <v>511</v>
      </c>
      <c r="B2" s="414"/>
      <c r="C2" s="410" t="s">
        <v>465</v>
      </c>
      <c r="D2" s="410" t="s">
        <v>464</v>
      </c>
    </row>
    <row r="3" spans="1:5" ht="51" x14ac:dyDescent="0.2">
      <c r="A3" s="408" t="s">
        <v>512</v>
      </c>
      <c r="B3" s="409" t="s">
        <v>510</v>
      </c>
      <c r="C3" s="410" t="s">
        <v>467</v>
      </c>
      <c r="D3" s="410" t="s">
        <v>466</v>
      </c>
      <c r="E3" s="409"/>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1">
    <tabColor theme="4"/>
  </sheetPr>
  <dimension ref="A1:AA79"/>
  <sheetViews>
    <sheetView workbookViewId="0">
      <selection activeCell="E8" sqref="E8"/>
    </sheetView>
  </sheetViews>
  <sheetFormatPr baseColWidth="10" defaultColWidth="11.42578125" defaultRowHeight="12.75" x14ac:dyDescent="0.2"/>
  <cols>
    <col min="1" max="1" width="2.7109375" style="102" customWidth="1"/>
    <col min="2" max="2" width="8" style="102" bestFit="1" customWidth="1"/>
    <col min="3" max="3" width="9.28515625" style="102" bestFit="1" customWidth="1"/>
    <col min="4" max="4" width="2.140625" style="102" customWidth="1"/>
    <col min="5" max="5" width="8" style="102" bestFit="1" customWidth="1"/>
    <col min="6" max="6" width="8.85546875" style="102" bestFit="1" customWidth="1"/>
    <col min="7" max="8" width="2.42578125" style="102" customWidth="1"/>
    <col min="9" max="9" width="10.42578125" style="102" customWidth="1"/>
    <col min="10" max="10" width="11.5703125" style="102" customWidth="1"/>
    <col min="11" max="11" width="3.5703125" style="102" customWidth="1"/>
    <col min="12" max="12" width="2.42578125" style="102" customWidth="1"/>
    <col min="13" max="13" width="10.42578125" style="102" customWidth="1"/>
    <col min="14" max="14" width="11.5703125" style="102" customWidth="1"/>
    <col min="15" max="16" width="3.5703125" style="102" customWidth="1"/>
    <col min="17" max="17" width="6.5703125" style="102" bestFit="1" customWidth="1"/>
    <col min="18" max="18" width="6.5703125" style="102" customWidth="1"/>
    <col min="19" max="19" width="6.140625" style="102" customWidth="1"/>
    <col min="20" max="20" width="14.5703125" style="102" customWidth="1"/>
    <col min="21" max="21" width="13" style="102" bestFit="1" customWidth="1"/>
    <col min="22" max="22" width="12.85546875" style="102" bestFit="1" customWidth="1"/>
    <col min="23" max="23" width="13.7109375" style="102" bestFit="1" customWidth="1"/>
    <col min="24" max="24" width="12.28515625" style="102" bestFit="1" customWidth="1"/>
    <col min="25" max="26" width="11.42578125" style="102"/>
    <col min="27" max="27" width="3.28515625" style="102" customWidth="1"/>
    <col min="28" max="16384" width="11.42578125" style="102"/>
  </cols>
  <sheetData>
    <row r="1" spans="1:27" ht="14.25" thickTop="1" thickBot="1" x14ac:dyDescent="0.25">
      <c r="A1" s="255"/>
      <c r="B1" s="255"/>
      <c r="C1" s="255"/>
      <c r="D1" s="255"/>
      <c r="E1" s="255"/>
      <c r="F1" s="255"/>
      <c r="G1" s="255"/>
      <c r="H1" s="268"/>
      <c r="I1" s="269"/>
      <c r="J1" s="269"/>
      <c r="K1" s="270"/>
      <c r="L1" s="381"/>
      <c r="M1" s="381"/>
      <c r="N1" s="381"/>
      <c r="O1" s="381"/>
      <c r="P1" s="261"/>
      <c r="Q1" s="261"/>
      <c r="R1" s="261"/>
      <c r="S1" s="261"/>
      <c r="T1" s="261"/>
      <c r="U1" s="261"/>
      <c r="V1" s="261"/>
      <c r="W1" s="261"/>
      <c r="X1" s="261"/>
      <c r="Y1" s="261"/>
      <c r="Z1" s="261"/>
      <c r="AA1" s="261"/>
    </row>
    <row r="2" spans="1:27" ht="13.5" thickTop="1" x14ac:dyDescent="0.2">
      <c r="A2" s="255"/>
      <c r="B2" s="488" t="s">
        <v>355</v>
      </c>
      <c r="C2" s="488"/>
      <c r="D2" s="488"/>
      <c r="E2" s="488"/>
      <c r="F2" s="488"/>
      <c r="G2" s="255"/>
      <c r="H2" s="271"/>
      <c r="I2" s="491" t="s">
        <v>357</v>
      </c>
      <c r="J2" s="492"/>
      <c r="K2" s="272"/>
      <c r="L2" s="381"/>
      <c r="M2" s="491" t="s">
        <v>441</v>
      </c>
      <c r="N2" s="492"/>
      <c r="O2" s="381"/>
      <c r="P2" s="261"/>
      <c r="Q2" s="496" t="s">
        <v>358</v>
      </c>
      <c r="R2" s="496"/>
      <c r="S2" s="496"/>
      <c r="T2" s="496"/>
      <c r="U2" s="496"/>
      <c r="V2" s="496"/>
      <c r="W2" s="496"/>
      <c r="X2" s="496"/>
      <c r="Y2" s="496"/>
      <c r="Z2" s="496"/>
      <c r="AA2" s="261"/>
    </row>
    <row r="3" spans="1:27" ht="13.5" thickBot="1" x14ac:dyDescent="0.25">
      <c r="A3" s="255"/>
      <c r="B3" s="488"/>
      <c r="C3" s="488"/>
      <c r="D3" s="488"/>
      <c r="E3" s="488"/>
      <c r="F3" s="488"/>
      <c r="G3" s="255"/>
      <c r="H3" s="271"/>
      <c r="I3" s="493"/>
      <c r="J3" s="494"/>
      <c r="K3" s="272"/>
      <c r="L3" s="381"/>
      <c r="M3" s="493"/>
      <c r="N3" s="494"/>
      <c r="O3" s="381"/>
      <c r="P3" s="261"/>
      <c r="Q3" s="496"/>
      <c r="R3" s="496"/>
      <c r="S3" s="496"/>
      <c r="T3" s="496"/>
      <c r="U3" s="496"/>
      <c r="V3" s="496"/>
      <c r="W3" s="496"/>
      <c r="X3" s="496"/>
      <c r="Y3" s="496"/>
      <c r="Z3" s="496"/>
      <c r="AA3" s="261"/>
    </row>
    <row r="4" spans="1:27" ht="13.5" thickBot="1" x14ac:dyDescent="0.25">
      <c r="A4" s="255"/>
      <c r="B4" s="486" t="s">
        <v>348</v>
      </c>
      <c r="C4" s="487"/>
      <c r="D4" s="276"/>
      <c r="E4" s="486" t="s">
        <v>349</v>
      </c>
      <c r="F4" s="487"/>
      <c r="G4" s="255"/>
      <c r="H4" s="271"/>
      <c r="I4" s="489" t="s">
        <v>356</v>
      </c>
      <c r="J4" s="490"/>
      <c r="K4" s="272"/>
      <c r="L4" s="381"/>
      <c r="M4" s="489" t="s">
        <v>442</v>
      </c>
      <c r="N4" s="490"/>
      <c r="O4" s="381"/>
      <c r="P4" s="261"/>
      <c r="Q4" s="497"/>
      <c r="R4" s="497"/>
      <c r="S4" s="497"/>
      <c r="T4" s="497"/>
      <c r="U4" s="497"/>
      <c r="V4" s="497"/>
      <c r="W4" s="497"/>
      <c r="X4" s="497"/>
      <c r="Y4" s="497"/>
      <c r="Z4" s="497"/>
      <c r="AA4" s="261"/>
    </row>
    <row r="5" spans="1:27" ht="13.5" thickBot="1" x14ac:dyDescent="0.25">
      <c r="A5" s="255"/>
      <c r="B5" s="257" t="s">
        <v>202</v>
      </c>
      <c r="C5" s="258">
        <f ca="1">U59/1000</f>
        <v>0</v>
      </c>
      <c r="D5" s="276"/>
      <c r="E5" s="257" t="s">
        <v>202</v>
      </c>
      <c r="F5" s="258">
        <f ca="1">U67/1000</f>
        <v>0</v>
      </c>
      <c r="G5" s="255"/>
      <c r="H5" s="271"/>
      <c r="I5" s="264" t="s">
        <v>202</v>
      </c>
      <c r="J5" s="265">
        <v>40.424999999999997</v>
      </c>
      <c r="K5" s="272"/>
      <c r="L5" s="381"/>
      <c r="M5" s="264" t="s">
        <v>202</v>
      </c>
      <c r="N5" s="398" t="e">
        <f ca="1">X73</f>
        <v>#N/A</v>
      </c>
      <c r="O5" s="381"/>
      <c r="P5" s="261"/>
      <c r="Q5" s="277" t="s">
        <v>338</v>
      </c>
      <c r="R5" s="277" t="s">
        <v>344</v>
      </c>
      <c r="S5" s="277" t="s">
        <v>339</v>
      </c>
      <c r="T5" s="278" t="s">
        <v>324</v>
      </c>
      <c r="U5" s="278" t="s">
        <v>328</v>
      </c>
      <c r="V5" s="278" t="s">
        <v>329</v>
      </c>
      <c r="W5" s="278" t="s">
        <v>330</v>
      </c>
      <c r="X5" s="278" t="s">
        <v>331</v>
      </c>
      <c r="Y5" s="278" t="s">
        <v>332</v>
      </c>
      <c r="Z5" s="278" t="s">
        <v>333</v>
      </c>
      <c r="AA5" s="261"/>
    </row>
    <row r="6" spans="1:27" ht="13.5" thickBot="1" x14ac:dyDescent="0.25">
      <c r="A6" s="255"/>
      <c r="B6" s="257" t="s">
        <v>203</v>
      </c>
      <c r="C6" s="258">
        <f ca="1">V59/1000</f>
        <v>0</v>
      </c>
      <c r="D6" s="276"/>
      <c r="E6" s="257" t="s">
        <v>203</v>
      </c>
      <c r="F6" s="258">
        <f ca="1">V67/1000</f>
        <v>0</v>
      </c>
      <c r="G6" s="255"/>
      <c r="H6" s="271"/>
      <c r="I6" s="264" t="s">
        <v>203</v>
      </c>
      <c r="J6" s="265">
        <v>2.3029999999999999</v>
      </c>
      <c r="K6" s="272"/>
      <c r="L6" s="381"/>
      <c r="M6" s="264" t="s">
        <v>203</v>
      </c>
      <c r="N6" s="398" t="e">
        <f ca="1">X74</f>
        <v>#N/A</v>
      </c>
      <c r="O6" s="381"/>
      <c r="P6" s="261"/>
      <c r="Q6" s="279">
        <f t="shared" ref="Q6:Q17" si="0">ROUNDUP(MONTH(T6)/3,0)</f>
        <v>1</v>
      </c>
      <c r="R6" s="279">
        <f>MONTH(T6)</f>
        <v>1</v>
      </c>
      <c r="S6" s="279">
        <f t="shared" ref="S6:S17" si="1">YEAR(T6)</f>
        <v>2021</v>
      </c>
      <c r="T6" s="280">
        <v>44197</v>
      </c>
      <c r="U6" s="396">
        <v>7970.5</v>
      </c>
      <c r="V6" s="396">
        <v>21955.45</v>
      </c>
      <c r="W6" s="396">
        <v>2014.93</v>
      </c>
      <c r="X6" s="283">
        <f t="shared" ref="X6:X32" si="2">Y6*Z6</f>
        <v>820.06589280000003</v>
      </c>
      <c r="Y6" s="397">
        <v>673.82</v>
      </c>
      <c r="Z6" s="281">
        <v>1.2170399999999999</v>
      </c>
      <c r="AA6" s="261"/>
    </row>
    <row r="7" spans="1:27" ht="13.5" thickBot="1" x14ac:dyDescent="0.25">
      <c r="A7" s="255"/>
      <c r="B7" s="257" t="s">
        <v>204</v>
      </c>
      <c r="C7" s="258">
        <f ca="1">W59</f>
        <v>0</v>
      </c>
      <c r="D7" s="276"/>
      <c r="E7" s="257" t="s">
        <v>204</v>
      </c>
      <c r="F7" s="258">
        <f ca="1">W67</f>
        <v>0</v>
      </c>
      <c r="G7" s="255"/>
      <c r="H7" s="271"/>
      <c r="I7" s="264" t="s">
        <v>204</v>
      </c>
      <c r="J7" s="265">
        <f>628.4*J11</f>
        <v>711.09743999999989</v>
      </c>
      <c r="K7" s="272"/>
      <c r="L7" s="381"/>
      <c r="M7" s="264" t="s">
        <v>204</v>
      </c>
      <c r="N7" s="398" t="e">
        <f ca="1">X75</f>
        <v>#N/A</v>
      </c>
      <c r="O7" s="381"/>
      <c r="P7" s="261"/>
      <c r="Q7" s="279">
        <f t="shared" si="0"/>
        <v>4</v>
      </c>
      <c r="R7" s="279">
        <f t="shared" ref="R7:R33" si="3">MONTH(T7)</f>
        <v>12</v>
      </c>
      <c r="S7" s="279">
        <f t="shared" si="1"/>
        <v>2020</v>
      </c>
      <c r="T7" s="280">
        <v>44166</v>
      </c>
      <c r="U7" s="396">
        <v>7755.24</v>
      </c>
      <c r="V7" s="396">
        <v>19727.330000000002</v>
      </c>
      <c r="W7" s="396">
        <v>2018.6</v>
      </c>
      <c r="X7" s="283">
        <f t="shared" si="2"/>
        <v>785.85781589999999</v>
      </c>
      <c r="Y7" s="397">
        <v>645.92999999999995</v>
      </c>
      <c r="Z7" s="281">
        <v>1.2166300000000001</v>
      </c>
      <c r="AA7" s="261"/>
    </row>
    <row r="8" spans="1:27" ht="13.5" thickBot="1" x14ac:dyDescent="0.25">
      <c r="A8" s="255"/>
      <c r="B8" s="257" t="s">
        <v>205</v>
      </c>
      <c r="C8" s="258">
        <f ca="1">T59/1000</f>
        <v>0</v>
      </c>
      <c r="D8" s="276"/>
      <c r="E8" s="257" t="s">
        <v>205</v>
      </c>
      <c r="F8" s="258">
        <f ca="1">T67/1000</f>
        <v>0</v>
      </c>
      <c r="G8" s="255"/>
      <c r="H8" s="271"/>
      <c r="I8" s="264" t="s">
        <v>205</v>
      </c>
      <c r="J8" s="265">
        <v>9.6649999999999991</v>
      </c>
      <c r="K8" s="272"/>
      <c r="L8" s="381"/>
      <c r="M8" s="264" t="s">
        <v>205</v>
      </c>
      <c r="N8" s="398" t="e">
        <f ca="1">X76</f>
        <v>#N/A</v>
      </c>
      <c r="O8" s="381"/>
      <c r="P8" s="261"/>
      <c r="Q8" s="279">
        <f t="shared" si="0"/>
        <v>4</v>
      </c>
      <c r="R8" s="279">
        <f t="shared" si="3"/>
        <v>11</v>
      </c>
      <c r="S8" s="279">
        <f t="shared" si="1"/>
        <v>2020</v>
      </c>
      <c r="T8" s="280">
        <v>44136</v>
      </c>
      <c r="U8" s="396">
        <v>7063.43</v>
      </c>
      <c r="V8" s="396">
        <v>18567.900000000001</v>
      </c>
      <c r="W8" s="396">
        <v>1914.48</v>
      </c>
      <c r="X8" s="283">
        <f t="shared" si="2"/>
        <v>761.47571359999995</v>
      </c>
      <c r="Y8" s="397">
        <v>643.16</v>
      </c>
      <c r="Z8" s="281">
        <v>1.1839599999999999</v>
      </c>
      <c r="AA8" s="261"/>
    </row>
    <row r="9" spans="1:27" ht="13.5" thickBot="1" x14ac:dyDescent="0.25">
      <c r="A9" s="255"/>
      <c r="B9" s="257" t="s">
        <v>278</v>
      </c>
      <c r="C9" s="258"/>
      <c r="D9" s="276"/>
      <c r="E9" s="257" t="s">
        <v>278</v>
      </c>
      <c r="F9" s="258"/>
      <c r="G9" s="255"/>
      <c r="H9" s="271"/>
      <c r="I9" s="264" t="s">
        <v>278</v>
      </c>
      <c r="J9" s="265">
        <f>7*J11</f>
        <v>7.9211999999999998</v>
      </c>
      <c r="K9" s="272"/>
      <c r="L9" s="381"/>
      <c r="M9" s="264" t="s">
        <v>278</v>
      </c>
      <c r="N9" s="398"/>
      <c r="O9" s="381"/>
      <c r="P9" s="261"/>
      <c r="Q9" s="279">
        <f t="shared" si="0"/>
        <v>4</v>
      </c>
      <c r="R9" s="279">
        <f t="shared" si="3"/>
        <v>10</v>
      </c>
      <c r="S9" s="279">
        <f t="shared" si="1"/>
        <v>2020</v>
      </c>
      <c r="T9" s="280">
        <v>44105</v>
      </c>
      <c r="U9" s="396">
        <v>6702.77</v>
      </c>
      <c r="V9" s="396">
        <v>18154.09</v>
      </c>
      <c r="W9" s="396">
        <v>1777.07</v>
      </c>
      <c r="X9" s="283">
        <f t="shared" si="2"/>
        <v>767.83470800000009</v>
      </c>
      <c r="Y9" s="397">
        <v>652.1</v>
      </c>
      <c r="Z9" s="281">
        <v>1.1774800000000001</v>
      </c>
      <c r="AA9" s="261"/>
    </row>
    <row r="10" spans="1:27" ht="13.5" thickBot="1" x14ac:dyDescent="0.25">
      <c r="A10" s="255"/>
      <c r="B10" s="257" t="s">
        <v>288</v>
      </c>
      <c r="C10" s="258"/>
      <c r="D10" s="276"/>
      <c r="E10" s="257" t="s">
        <v>288</v>
      </c>
      <c r="F10" s="258"/>
      <c r="G10" s="255"/>
      <c r="H10" s="271"/>
      <c r="I10" s="264" t="s">
        <v>288</v>
      </c>
      <c r="J10" s="265">
        <f>245*J11</f>
        <v>277.24199999999996</v>
      </c>
      <c r="K10" s="272"/>
      <c r="L10" s="381"/>
      <c r="M10" s="264" t="s">
        <v>288</v>
      </c>
      <c r="N10" s="398"/>
      <c r="O10" s="381"/>
      <c r="P10" s="261"/>
      <c r="Q10" s="279">
        <f t="shared" si="0"/>
        <v>3</v>
      </c>
      <c r="R10" s="279">
        <f t="shared" si="3"/>
        <v>9</v>
      </c>
      <c r="S10" s="279">
        <f t="shared" si="1"/>
        <v>2020</v>
      </c>
      <c r="T10" s="280">
        <v>44075</v>
      </c>
      <c r="U10" s="396">
        <v>6712.41</v>
      </c>
      <c r="V10" s="396">
        <v>17945.95</v>
      </c>
      <c r="W10" s="396">
        <v>1881.36</v>
      </c>
      <c r="X10" s="283">
        <f t="shared" si="2"/>
        <v>819.43112159999987</v>
      </c>
      <c r="Y10" s="397">
        <v>694.81</v>
      </c>
      <c r="Z10" s="281">
        <v>1.17936</v>
      </c>
      <c r="AA10" s="261"/>
    </row>
    <row r="11" spans="1:27" ht="13.5" thickBot="1" x14ac:dyDescent="0.25">
      <c r="A11" s="255"/>
      <c r="B11" s="257" t="s">
        <v>323</v>
      </c>
      <c r="C11" s="259">
        <f ca="1">Y59</f>
        <v>0</v>
      </c>
      <c r="D11" s="276"/>
      <c r="E11" s="257" t="s">
        <v>323</v>
      </c>
      <c r="F11" s="259">
        <f ca="1">Y67</f>
        <v>0</v>
      </c>
      <c r="G11" s="255"/>
      <c r="H11" s="271"/>
      <c r="I11" s="266" t="s">
        <v>323</v>
      </c>
      <c r="J11" s="267">
        <v>1.1315999999999999</v>
      </c>
      <c r="K11" s="272"/>
      <c r="L11" s="381"/>
      <c r="M11" s="266" t="s">
        <v>323</v>
      </c>
      <c r="N11" s="399" t="e">
        <f ca="1">X79</f>
        <v>#N/A</v>
      </c>
      <c r="O11" s="381"/>
      <c r="P11" s="261"/>
      <c r="Q11" s="279">
        <f t="shared" si="0"/>
        <v>3</v>
      </c>
      <c r="R11" s="279">
        <f t="shared" si="3"/>
        <v>8</v>
      </c>
      <c r="S11" s="279">
        <f t="shared" si="1"/>
        <v>2020</v>
      </c>
      <c r="T11" s="280">
        <v>44044</v>
      </c>
      <c r="U11" s="396">
        <v>6496.7</v>
      </c>
      <c r="V11" s="396">
        <v>17671.900000000001</v>
      </c>
      <c r="W11" s="396">
        <v>1935.2</v>
      </c>
      <c r="X11" s="283">
        <f t="shared" si="2"/>
        <v>852.67215880000003</v>
      </c>
      <c r="Y11" s="397">
        <v>721.21</v>
      </c>
      <c r="Z11" s="281">
        <v>1.18228</v>
      </c>
      <c r="AA11" s="261"/>
    </row>
    <row r="12" spans="1:27" ht="13.5" thickBot="1" x14ac:dyDescent="0.25">
      <c r="A12" s="255"/>
      <c r="B12" s="260"/>
      <c r="C12" s="260"/>
      <c r="D12" s="260"/>
      <c r="E12" s="260"/>
      <c r="F12" s="260"/>
      <c r="G12" s="255"/>
      <c r="H12" s="273"/>
      <c r="I12" s="274"/>
      <c r="J12" s="274"/>
      <c r="K12" s="275"/>
      <c r="L12" s="381"/>
      <c r="M12" s="381"/>
      <c r="N12" s="381"/>
      <c r="O12" s="381"/>
      <c r="P12" s="261"/>
      <c r="Q12" s="279">
        <f t="shared" si="0"/>
        <v>3</v>
      </c>
      <c r="R12" s="279">
        <f t="shared" si="3"/>
        <v>7</v>
      </c>
      <c r="S12" s="279">
        <f t="shared" si="1"/>
        <v>2020</v>
      </c>
      <c r="T12" s="280">
        <v>44013</v>
      </c>
      <c r="U12" s="396">
        <v>6353.76</v>
      </c>
      <c r="V12" s="396">
        <v>17452.96</v>
      </c>
      <c r="W12" s="396">
        <v>1812.15</v>
      </c>
      <c r="X12" s="283">
        <f t="shared" si="2"/>
        <v>645.19014689999995</v>
      </c>
      <c r="Y12" s="397">
        <v>562.89</v>
      </c>
      <c r="Z12" s="281">
        <v>1.14621</v>
      </c>
      <c r="AA12" s="261"/>
    </row>
    <row r="13" spans="1:27" ht="13.5" thickTop="1" x14ac:dyDescent="0.2">
      <c r="B13" s="256"/>
      <c r="C13" s="256"/>
      <c r="D13" s="256"/>
      <c r="E13" s="256"/>
      <c r="F13" s="256"/>
      <c r="P13" s="261"/>
      <c r="Q13" s="279">
        <f t="shared" si="0"/>
        <v>2</v>
      </c>
      <c r="R13" s="279">
        <f t="shared" si="3"/>
        <v>6</v>
      </c>
      <c r="S13" s="279">
        <f t="shared" si="1"/>
        <v>2020</v>
      </c>
      <c r="T13" s="280">
        <v>43983</v>
      </c>
      <c r="U13" s="396">
        <v>5742.39</v>
      </c>
      <c r="V13" s="396">
        <v>16806.27</v>
      </c>
      <c r="W13" s="396">
        <v>1739.86</v>
      </c>
      <c r="X13" s="283">
        <f t="shared" si="2"/>
        <v>561.09423040000001</v>
      </c>
      <c r="Y13" s="397">
        <v>498.52</v>
      </c>
      <c r="Z13" s="281">
        <v>1.1255200000000001</v>
      </c>
      <c r="AA13" s="261"/>
    </row>
    <row r="14" spans="1:27" x14ac:dyDescent="0.2">
      <c r="P14" s="261"/>
      <c r="Q14" s="279">
        <f t="shared" si="0"/>
        <v>2</v>
      </c>
      <c r="R14" s="279">
        <f t="shared" si="3"/>
        <v>5</v>
      </c>
      <c r="S14" s="279">
        <f t="shared" si="1"/>
        <v>2020</v>
      </c>
      <c r="T14" s="280">
        <v>43952</v>
      </c>
      <c r="U14" s="396">
        <v>5233.82</v>
      </c>
      <c r="V14" s="396">
        <v>15408.53</v>
      </c>
      <c r="W14" s="396">
        <v>1618.16</v>
      </c>
      <c r="X14" s="283">
        <f t="shared" si="2"/>
        <v>515.88295200000005</v>
      </c>
      <c r="Y14" s="397">
        <v>472.94</v>
      </c>
      <c r="Z14" s="281">
        <v>1.0908</v>
      </c>
      <c r="AA14" s="261"/>
    </row>
    <row r="15" spans="1:27" x14ac:dyDescent="0.2">
      <c r="P15" s="261"/>
      <c r="Q15" s="279">
        <f t="shared" si="0"/>
        <v>2</v>
      </c>
      <c r="R15" s="279">
        <f t="shared" si="3"/>
        <v>4</v>
      </c>
      <c r="S15" s="279">
        <f t="shared" si="1"/>
        <v>2020</v>
      </c>
      <c r="T15" s="280">
        <v>43922</v>
      </c>
      <c r="U15" s="396">
        <v>5048.25</v>
      </c>
      <c r="V15" s="396">
        <v>15039.35</v>
      </c>
      <c r="W15" s="396">
        <v>1651.53</v>
      </c>
      <c r="X15" s="283">
        <f t="shared" si="2"/>
        <v>475.99227910000008</v>
      </c>
      <c r="Y15" s="397">
        <v>438.23</v>
      </c>
      <c r="Z15" s="281">
        <v>1.0861700000000001</v>
      </c>
      <c r="AA15" s="261"/>
    </row>
    <row r="16" spans="1:27" x14ac:dyDescent="0.2">
      <c r="P16" s="261"/>
      <c r="Q16" s="279">
        <f t="shared" si="0"/>
        <v>1</v>
      </c>
      <c r="R16" s="279">
        <f t="shared" si="3"/>
        <v>3</v>
      </c>
      <c r="S16" s="279">
        <f t="shared" si="1"/>
        <v>2020</v>
      </c>
      <c r="T16" s="280">
        <v>43891</v>
      </c>
      <c r="U16" s="282">
        <v>5178.68</v>
      </c>
      <c r="V16" s="282">
        <v>15321.41</v>
      </c>
      <c r="W16" s="282">
        <v>1744.64</v>
      </c>
      <c r="X16" s="283">
        <f t="shared" si="2"/>
        <v>471.56095630000004</v>
      </c>
      <c r="Y16" s="284">
        <v>426.37</v>
      </c>
      <c r="Z16" s="279">
        <v>1.10599</v>
      </c>
      <c r="AA16" s="261"/>
    </row>
    <row r="17" spans="6:27" x14ac:dyDescent="0.2">
      <c r="F17" s="12"/>
      <c r="P17" s="261"/>
      <c r="Q17" s="279">
        <f t="shared" si="0"/>
        <v>1</v>
      </c>
      <c r="R17" s="279">
        <f t="shared" si="3"/>
        <v>2</v>
      </c>
      <c r="S17" s="279">
        <f t="shared" si="1"/>
        <v>2020</v>
      </c>
      <c r="T17" s="280">
        <v>43862</v>
      </c>
      <c r="U17" s="282">
        <v>5686.45</v>
      </c>
      <c r="V17" s="282">
        <v>16456.5</v>
      </c>
      <c r="W17" s="282">
        <v>1872.3</v>
      </c>
      <c r="X17" s="283">
        <f t="shared" si="2"/>
        <v>567.53560700000003</v>
      </c>
      <c r="Y17" s="284">
        <v>520.46</v>
      </c>
      <c r="Z17" s="279">
        <v>1.0904499999999999</v>
      </c>
      <c r="AA17" s="261"/>
    </row>
    <row r="18" spans="6:27" x14ac:dyDescent="0.2">
      <c r="F18" s="12"/>
      <c r="P18" s="261"/>
      <c r="Q18" s="279">
        <f>ROUNDUP(MONTH(T18)/3,0)</f>
        <v>1</v>
      </c>
      <c r="R18" s="279">
        <f t="shared" si="3"/>
        <v>1</v>
      </c>
      <c r="S18" s="279">
        <f>YEAR(T18)</f>
        <v>2020</v>
      </c>
      <c r="T18" s="280">
        <v>43831</v>
      </c>
      <c r="U18" s="282">
        <v>6049.2</v>
      </c>
      <c r="V18" s="282">
        <v>17071.14</v>
      </c>
      <c r="W18" s="282">
        <v>1925.16</v>
      </c>
      <c r="X18" s="283">
        <f t="shared" si="2"/>
        <v>568.81692640000006</v>
      </c>
      <c r="Y18" s="284">
        <v>512.48</v>
      </c>
      <c r="Z18" s="279">
        <v>1.1099300000000001</v>
      </c>
      <c r="AA18" s="261"/>
    </row>
    <row r="19" spans="6:27" x14ac:dyDescent="0.2">
      <c r="F19" s="12"/>
      <c r="P19" s="261"/>
      <c r="Q19" s="279">
        <f t="shared" ref="Q19:Q33" si="4">ROUNDUP(MONTH(T19)/3,0)</f>
        <v>4</v>
      </c>
      <c r="R19" s="279">
        <f t="shared" si="3"/>
        <v>12</v>
      </c>
      <c r="S19" s="279">
        <f t="shared" ref="S19:S33" si="5">YEAR(T19)</f>
        <v>2019</v>
      </c>
      <c r="T19" s="280">
        <v>43800</v>
      </c>
      <c r="U19" s="282">
        <v>6062.43</v>
      </c>
      <c r="V19" s="282">
        <v>17093.25</v>
      </c>
      <c r="W19" s="282">
        <v>1899.25</v>
      </c>
      <c r="X19" s="283">
        <f t="shared" si="2"/>
        <v>539.64793090000001</v>
      </c>
      <c r="Y19" s="284">
        <v>485.57</v>
      </c>
      <c r="Z19" s="279">
        <v>1.11137</v>
      </c>
      <c r="AA19" s="261"/>
    </row>
    <row r="20" spans="6:27" x14ac:dyDescent="0.2">
      <c r="F20" s="12"/>
      <c r="P20" s="261"/>
      <c r="Q20" s="279">
        <f t="shared" si="4"/>
        <v>4</v>
      </c>
      <c r="R20" s="279">
        <f t="shared" si="3"/>
        <v>11</v>
      </c>
      <c r="S20" s="279">
        <f t="shared" si="5"/>
        <v>2019</v>
      </c>
      <c r="T20" s="280">
        <v>43770</v>
      </c>
      <c r="U20" s="282">
        <v>5859.69</v>
      </c>
      <c r="V20" s="282">
        <v>16369.29</v>
      </c>
      <c r="W20" s="282">
        <v>2031.9</v>
      </c>
      <c r="X20" s="283">
        <f t="shared" si="2"/>
        <v>543.93393470000001</v>
      </c>
      <c r="Y20" s="284">
        <v>492.19</v>
      </c>
      <c r="Z20" s="279">
        <v>1.1051299999999999</v>
      </c>
      <c r="AA20" s="261"/>
    </row>
    <row r="21" spans="6:27" x14ac:dyDescent="0.2">
      <c r="F21" s="12"/>
      <c r="P21" s="261"/>
      <c r="Q21" s="279">
        <f t="shared" si="4"/>
        <v>4</v>
      </c>
      <c r="R21" s="279">
        <f t="shared" si="3"/>
        <v>10</v>
      </c>
      <c r="S21" s="279">
        <f t="shared" si="5"/>
        <v>2019</v>
      </c>
      <c r="T21" s="280">
        <v>43739</v>
      </c>
      <c r="U21" s="282">
        <v>5742.89</v>
      </c>
      <c r="V21" s="282">
        <v>16603.04</v>
      </c>
      <c r="W21" s="282">
        <v>2184.3000000000002</v>
      </c>
      <c r="X21" s="283">
        <f t="shared" si="2"/>
        <v>558.04795709999996</v>
      </c>
      <c r="Y21" s="284">
        <v>504.87</v>
      </c>
      <c r="Z21" s="279">
        <v>1.1053299999999999</v>
      </c>
      <c r="AA21" s="261"/>
    </row>
    <row r="22" spans="6:27" x14ac:dyDescent="0.2">
      <c r="F22" s="12"/>
      <c r="P22" s="261"/>
      <c r="Q22" s="279">
        <f t="shared" si="4"/>
        <v>3</v>
      </c>
      <c r="R22" s="279">
        <f t="shared" si="3"/>
        <v>9</v>
      </c>
      <c r="S22" s="279">
        <f t="shared" si="5"/>
        <v>2019</v>
      </c>
      <c r="T22" s="280">
        <v>43709</v>
      </c>
      <c r="U22" s="282">
        <v>5745.48</v>
      </c>
      <c r="V22" s="282">
        <v>16839.759999999998</v>
      </c>
      <c r="W22" s="282">
        <v>2070.86</v>
      </c>
      <c r="X22" s="283">
        <f t="shared" si="2"/>
        <v>575.30315729999995</v>
      </c>
      <c r="Y22" s="284">
        <v>522.77</v>
      </c>
      <c r="Z22" s="279">
        <v>1.10049</v>
      </c>
      <c r="AA22" s="261"/>
    </row>
    <row r="23" spans="6:27" x14ac:dyDescent="0.2">
      <c r="F23" s="12"/>
      <c r="P23" s="261"/>
      <c r="Q23" s="279">
        <f t="shared" si="4"/>
        <v>3</v>
      </c>
      <c r="R23" s="279">
        <f t="shared" si="3"/>
        <v>8</v>
      </c>
      <c r="S23" s="279">
        <f t="shared" si="5"/>
        <v>2019</v>
      </c>
      <c r="T23" s="280">
        <v>43678</v>
      </c>
      <c r="U23" s="282">
        <v>5707.98</v>
      </c>
      <c r="V23" s="282">
        <v>16577.14</v>
      </c>
      <c r="W23" s="282">
        <v>2043.19</v>
      </c>
      <c r="X23" s="283">
        <f t="shared" si="2"/>
        <v>543.09264480000002</v>
      </c>
      <c r="Y23" s="284">
        <v>488.16</v>
      </c>
      <c r="Z23" s="279">
        <v>1.11253</v>
      </c>
      <c r="AA23" s="261"/>
    </row>
    <row r="24" spans="6:27" x14ac:dyDescent="0.2">
      <c r="F24" s="12"/>
      <c r="P24" s="261"/>
      <c r="Q24" s="279">
        <f t="shared" si="4"/>
        <v>3</v>
      </c>
      <c r="R24" s="279">
        <f t="shared" si="3"/>
        <v>7</v>
      </c>
      <c r="S24" s="279">
        <f t="shared" si="5"/>
        <v>2019</v>
      </c>
      <c r="T24" s="280">
        <v>43647</v>
      </c>
      <c r="U24" s="282">
        <v>5939.85</v>
      </c>
      <c r="V24" s="282">
        <v>17991.3</v>
      </c>
      <c r="W24" s="282">
        <v>1974.02</v>
      </c>
      <c r="X24" s="283">
        <f t="shared" si="2"/>
        <v>498.64496339999999</v>
      </c>
      <c r="Y24" s="284">
        <v>444.54</v>
      </c>
      <c r="Z24" s="279">
        <v>1.12171</v>
      </c>
      <c r="AA24" s="261"/>
    </row>
    <row r="25" spans="6:27" x14ac:dyDescent="0.2">
      <c r="P25" s="261"/>
      <c r="Q25" s="279">
        <f t="shared" si="4"/>
        <v>2</v>
      </c>
      <c r="R25" s="279">
        <f t="shared" si="3"/>
        <v>6</v>
      </c>
      <c r="S25" s="279">
        <f t="shared" si="5"/>
        <v>2019</v>
      </c>
      <c r="T25" s="280">
        <v>43617</v>
      </c>
      <c r="U25" s="282">
        <v>5868.43</v>
      </c>
      <c r="V25" s="282">
        <v>19176.5</v>
      </c>
      <c r="W25" s="282">
        <v>1891.5</v>
      </c>
      <c r="X25" s="283">
        <f t="shared" si="2"/>
        <v>474.72672640000002</v>
      </c>
      <c r="Y25" s="284">
        <v>420.38</v>
      </c>
      <c r="Z25" s="279">
        <v>1.1292800000000001</v>
      </c>
      <c r="AA25" s="261"/>
    </row>
    <row r="26" spans="6:27" x14ac:dyDescent="0.2">
      <c r="P26" s="261"/>
      <c r="Q26" s="279">
        <f t="shared" si="4"/>
        <v>2</v>
      </c>
      <c r="R26" s="279">
        <f t="shared" si="3"/>
        <v>5</v>
      </c>
      <c r="S26" s="279">
        <f t="shared" si="5"/>
        <v>2019</v>
      </c>
      <c r="T26" s="280">
        <v>43586</v>
      </c>
      <c r="U26" s="282">
        <v>6028.31</v>
      </c>
      <c r="V26" s="282">
        <v>19530.95</v>
      </c>
      <c r="W26" s="282">
        <v>1817.21</v>
      </c>
      <c r="X26" s="283">
        <f t="shared" si="2"/>
        <v>462.70076249999994</v>
      </c>
      <c r="Y26" s="284">
        <v>413.75</v>
      </c>
      <c r="Z26" s="279">
        <v>1.1183099999999999</v>
      </c>
      <c r="AA26" s="261"/>
    </row>
    <row r="27" spans="6:27" x14ac:dyDescent="0.2">
      <c r="P27" s="261"/>
      <c r="Q27" s="279">
        <f t="shared" si="4"/>
        <v>2</v>
      </c>
      <c r="R27" s="279">
        <f t="shared" si="3"/>
        <v>4</v>
      </c>
      <c r="S27" s="279">
        <f t="shared" si="5"/>
        <v>2019</v>
      </c>
      <c r="T27" s="280">
        <v>43556</v>
      </c>
      <c r="U27" s="282">
        <v>6445.1</v>
      </c>
      <c r="V27" s="282">
        <v>20683.75</v>
      </c>
      <c r="W27" s="282">
        <v>1948.85</v>
      </c>
      <c r="X27" s="283">
        <f t="shared" si="2"/>
        <v>476.29591570000002</v>
      </c>
      <c r="Y27" s="284">
        <v>423.83</v>
      </c>
      <c r="Z27" s="285">
        <v>1.1237900000000001</v>
      </c>
      <c r="AA27" s="261"/>
    </row>
    <row r="28" spans="6:27" x14ac:dyDescent="0.2">
      <c r="P28" s="261"/>
      <c r="Q28" s="279">
        <f t="shared" si="4"/>
        <v>1</v>
      </c>
      <c r="R28" s="279">
        <f t="shared" si="3"/>
        <v>3</v>
      </c>
      <c r="S28" s="279">
        <f t="shared" si="5"/>
        <v>2019</v>
      </c>
      <c r="T28" s="280">
        <v>43525</v>
      </c>
      <c r="U28" s="282">
        <v>6451.02</v>
      </c>
      <c r="V28" s="282">
        <v>21444.29</v>
      </c>
      <c r="W28" s="282">
        <v>2054.5700000000002</v>
      </c>
      <c r="X28" s="283">
        <f t="shared" si="2"/>
        <v>485.12862290000004</v>
      </c>
      <c r="Y28" s="284">
        <v>429.23</v>
      </c>
      <c r="Z28" s="285">
        <v>1.1302300000000001</v>
      </c>
      <c r="AA28" s="261"/>
    </row>
    <row r="29" spans="6:27" x14ac:dyDescent="0.2">
      <c r="P29" s="261"/>
      <c r="Q29" s="279">
        <f t="shared" si="4"/>
        <v>1</v>
      </c>
      <c r="R29" s="279">
        <f t="shared" si="3"/>
        <v>2</v>
      </c>
      <c r="S29" s="279">
        <f t="shared" si="5"/>
        <v>2019</v>
      </c>
      <c r="T29" s="280">
        <v>43497</v>
      </c>
      <c r="U29" s="282">
        <v>6278.2</v>
      </c>
      <c r="V29" s="282">
        <v>21268</v>
      </c>
      <c r="W29" s="282">
        <v>2062.0700000000002</v>
      </c>
      <c r="X29" s="283">
        <f t="shared" si="2"/>
        <v>500.5501094</v>
      </c>
      <c r="Y29" s="284">
        <v>440.99</v>
      </c>
      <c r="Z29" s="279">
        <v>1.13506</v>
      </c>
      <c r="AA29" s="261"/>
    </row>
    <row r="30" spans="6:27" x14ac:dyDescent="0.2">
      <c r="P30" s="261"/>
      <c r="Q30" s="279">
        <f t="shared" si="4"/>
        <v>1</v>
      </c>
      <c r="R30" s="279">
        <f t="shared" si="3"/>
        <v>1</v>
      </c>
      <c r="S30" s="279">
        <f t="shared" si="5"/>
        <v>2019</v>
      </c>
      <c r="T30" s="280">
        <v>43466</v>
      </c>
      <c r="U30" s="282">
        <v>5932.02</v>
      </c>
      <c r="V30" s="282">
        <v>20480</v>
      </c>
      <c r="W30" s="282">
        <v>1994.16</v>
      </c>
      <c r="X30" s="283">
        <f t="shared" si="2"/>
        <v>493.6927</v>
      </c>
      <c r="Y30" s="284">
        <v>432.4</v>
      </c>
      <c r="Z30" s="279">
        <v>1.14175</v>
      </c>
      <c r="AA30" s="261"/>
    </row>
    <row r="31" spans="6:27" x14ac:dyDescent="0.2">
      <c r="P31" s="261"/>
      <c r="Q31" s="279">
        <f t="shared" si="4"/>
        <v>4</v>
      </c>
      <c r="R31" s="279">
        <f t="shared" si="3"/>
        <v>12</v>
      </c>
      <c r="S31" s="279">
        <f t="shared" si="5"/>
        <v>2018</v>
      </c>
      <c r="T31" s="280">
        <v>43435</v>
      </c>
      <c r="U31" s="282">
        <v>6094.21</v>
      </c>
      <c r="V31" s="282">
        <v>19242.63</v>
      </c>
      <c r="W31" s="282">
        <v>1965.47</v>
      </c>
      <c r="X31" s="283">
        <f t="shared" si="2"/>
        <v>464.14352280000003</v>
      </c>
      <c r="Y31" s="284">
        <v>407.73</v>
      </c>
      <c r="Z31" s="279">
        <v>1.13836</v>
      </c>
      <c r="AA31" s="261"/>
    </row>
    <row r="32" spans="6:27" x14ac:dyDescent="0.2">
      <c r="P32" s="261"/>
      <c r="Q32" s="279">
        <f t="shared" si="4"/>
        <v>4</v>
      </c>
      <c r="R32" s="279">
        <f t="shared" si="3"/>
        <v>11</v>
      </c>
      <c r="S32" s="279">
        <f t="shared" si="5"/>
        <v>2018</v>
      </c>
      <c r="T32" s="280">
        <v>43405</v>
      </c>
      <c r="U32" s="282">
        <v>6193</v>
      </c>
      <c r="V32" s="282">
        <v>19139.32</v>
      </c>
      <c r="W32" s="282">
        <v>1940.16</v>
      </c>
      <c r="X32" s="283">
        <f t="shared" si="2"/>
        <v>454.91614499999997</v>
      </c>
      <c r="Y32" s="284">
        <v>400.25</v>
      </c>
      <c r="Z32" s="279">
        <v>1.1365799999999999</v>
      </c>
      <c r="AA32" s="261"/>
    </row>
    <row r="33" spans="6:27" x14ac:dyDescent="0.2">
      <c r="P33" s="261"/>
      <c r="Q33" s="279">
        <f t="shared" si="4"/>
        <v>4</v>
      </c>
      <c r="R33" s="279">
        <f t="shared" si="3"/>
        <v>10</v>
      </c>
      <c r="S33" s="279">
        <f t="shared" si="5"/>
        <v>2018</v>
      </c>
      <c r="T33" s="280">
        <v>43374</v>
      </c>
      <c r="U33" s="282">
        <v>6215.89</v>
      </c>
      <c r="V33" s="282">
        <v>19129.13</v>
      </c>
      <c r="W33" s="282">
        <v>1985.15</v>
      </c>
      <c r="X33" s="283">
        <f>Y33*Z33</f>
        <v>461.74925010000004</v>
      </c>
      <c r="Y33" s="284">
        <v>402.07</v>
      </c>
      <c r="Z33" s="279">
        <v>1.1484300000000001</v>
      </c>
      <c r="AA33" s="261"/>
    </row>
    <row r="34" spans="6:27" x14ac:dyDescent="0.2">
      <c r="P34" s="261"/>
      <c r="Q34" s="261"/>
      <c r="R34" s="261"/>
      <c r="S34" s="261"/>
      <c r="T34" s="262"/>
      <c r="U34" s="261"/>
      <c r="V34" s="261"/>
      <c r="W34" s="261"/>
      <c r="X34" s="261"/>
      <c r="Y34" s="261"/>
      <c r="Z34" s="261"/>
      <c r="AA34" s="261"/>
    </row>
    <row r="36" spans="6:27" x14ac:dyDescent="0.2">
      <c r="P36" s="495" t="s">
        <v>440</v>
      </c>
      <c r="Q36" s="495"/>
      <c r="R36" s="495"/>
      <c r="S36" s="495"/>
      <c r="T36" s="495"/>
      <c r="U36" s="495"/>
      <c r="V36" s="495"/>
      <c r="W36" s="495"/>
      <c r="X36" s="495"/>
      <c r="Y36" s="495"/>
      <c r="Z36" s="495"/>
      <c r="AA36" s="495"/>
    </row>
    <row r="37" spans="6:27" x14ac:dyDescent="0.2">
      <c r="P37" s="382"/>
      <c r="Q37" s="382" t="s">
        <v>338</v>
      </c>
      <c r="R37" s="382" t="s">
        <v>344</v>
      </c>
      <c r="S37" s="382" t="s">
        <v>339</v>
      </c>
      <c r="T37" s="382" t="s">
        <v>324</v>
      </c>
      <c r="U37" s="382" t="s">
        <v>328</v>
      </c>
      <c r="V37" s="382" t="s">
        <v>329</v>
      </c>
      <c r="W37" s="382" t="s">
        <v>330</v>
      </c>
      <c r="X37" s="382" t="s">
        <v>331</v>
      </c>
      <c r="Y37" s="382" t="s">
        <v>332</v>
      </c>
      <c r="Z37" s="382" t="s">
        <v>333</v>
      </c>
      <c r="AA37" s="382"/>
    </row>
    <row r="38" spans="6:27" x14ac:dyDescent="0.2">
      <c r="F38" s="12"/>
      <c r="P38" s="381"/>
      <c r="Q38" s="383">
        <f ca="1">W54</f>
        <v>1</v>
      </c>
      <c r="R38" s="383">
        <f ca="1">R39+1</f>
        <v>3</v>
      </c>
      <c r="S38" s="383">
        <f ca="1">V54</f>
        <v>2022</v>
      </c>
      <c r="T38" s="384">
        <f ca="1">DATE(S38,R38,1)</f>
        <v>44621</v>
      </c>
      <c r="U38" s="392">
        <v>7681.11</v>
      </c>
      <c r="V38" s="392">
        <v>19174.439999999999</v>
      </c>
      <c r="W38" s="392">
        <v>2054.06</v>
      </c>
      <c r="X38" s="393">
        <f>Y38*Z38</f>
        <v>759.77029169999992</v>
      </c>
      <c r="Y38" s="394">
        <v>627.79</v>
      </c>
      <c r="Z38" s="395">
        <v>1.2102299999999999</v>
      </c>
      <c r="AA38" s="381"/>
    </row>
    <row r="39" spans="6:27" x14ac:dyDescent="0.2">
      <c r="F39" s="12"/>
      <c r="P39" s="381"/>
      <c r="Q39" s="385">
        <f ca="1">W54</f>
        <v>1</v>
      </c>
      <c r="R39" s="385">
        <f ca="1">R40+1</f>
        <v>2</v>
      </c>
      <c r="S39" s="385">
        <f ca="1">V54</f>
        <v>2022</v>
      </c>
      <c r="T39" s="386">
        <f ca="1">DATE(S39,R39,1)</f>
        <v>44593</v>
      </c>
      <c r="U39" s="387" t="e">
        <f ca="1">VLOOKUP(T39,T6:Z33,2,FALSE)</f>
        <v>#N/A</v>
      </c>
      <c r="V39" s="387" t="e">
        <f ca="1">VLOOKUP(T39,T6:Z33,3,FALSE)</f>
        <v>#N/A</v>
      </c>
      <c r="W39" s="387" t="e">
        <f ca="1">VLOOKUP(T39,T6:Z33,4,FALSE)</f>
        <v>#N/A</v>
      </c>
      <c r="X39" s="388" t="e">
        <f ca="1">VLOOKUP(T39,T6:Z33,5,FALSE)</f>
        <v>#N/A</v>
      </c>
      <c r="Y39" s="389" t="e">
        <f ca="1">VLOOKUP(T39,T6:Z33,6,FALSE)</f>
        <v>#N/A</v>
      </c>
      <c r="Z39" s="385" t="e">
        <f ca="1">VLOOKUP(T39,T6:Z33,7,FALSE)</f>
        <v>#N/A</v>
      </c>
      <c r="AA39" s="381"/>
    </row>
    <row r="40" spans="6:27" x14ac:dyDescent="0.2">
      <c r="F40" s="12"/>
      <c r="P40" s="381"/>
      <c r="Q40" s="385">
        <f ca="1">W54</f>
        <v>1</v>
      </c>
      <c r="R40" s="385">
        <f ca="1">IF(Q40=1,1,IF(Q40=2,4,IF(Q40=3,7,10)))</f>
        <v>1</v>
      </c>
      <c r="S40" s="385">
        <f ca="1">V54</f>
        <v>2022</v>
      </c>
      <c r="T40" s="386">
        <f ca="1">DATE(S40,R40,1)</f>
        <v>44562</v>
      </c>
      <c r="U40" s="387" t="e">
        <f ca="1">VLOOKUP(T40,T6:Z33,2,FALSE)</f>
        <v>#N/A</v>
      </c>
      <c r="V40" s="387" t="e">
        <f ca="1">VLOOKUP(T40,T6:Z33,3,FALSE)</f>
        <v>#N/A</v>
      </c>
      <c r="W40" s="387" t="e">
        <f ca="1">VLOOKUP(T40,T6:Z33,4,FALSE)</f>
        <v>#N/A</v>
      </c>
      <c r="X40" s="388" t="e">
        <f ca="1">VLOOKUP(T40,T6:Z33,5,FALSE)</f>
        <v>#N/A</v>
      </c>
      <c r="Y40" s="389" t="e">
        <f ca="1">VLOOKUP(T40,T6:Z33,6,FALSE)</f>
        <v>#N/A</v>
      </c>
      <c r="Z40" s="385" t="e">
        <f ca="1">VLOOKUP(T40,T6:Z33,7,FALSE)</f>
        <v>#N/A</v>
      </c>
      <c r="AA40" s="381"/>
    </row>
    <row r="41" spans="6:27" x14ac:dyDescent="0.2">
      <c r="P41" s="495" t="s">
        <v>440</v>
      </c>
      <c r="Q41" s="495"/>
      <c r="R41" s="495"/>
      <c r="S41" s="495"/>
      <c r="T41" s="495"/>
      <c r="U41" s="495"/>
      <c r="V41" s="495"/>
      <c r="W41" s="495"/>
      <c r="X41" s="495"/>
      <c r="Y41" s="495"/>
      <c r="Z41" s="495"/>
      <c r="AA41" s="495"/>
    </row>
    <row r="53" spans="19:25" x14ac:dyDescent="0.2">
      <c r="T53" s="102" t="s">
        <v>336</v>
      </c>
      <c r="U53" s="105" t="s">
        <v>335</v>
      </c>
      <c r="V53" s="102" t="s">
        <v>337</v>
      </c>
      <c r="W53" s="102" t="s">
        <v>334</v>
      </c>
      <c r="X53" s="103" t="s">
        <v>353</v>
      </c>
      <c r="Y53" s="102" t="s">
        <v>354</v>
      </c>
    </row>
    <row r="54" spans="19:25" x14ac:dyDescent="0.2">
      <c r="T54" s="102">
        <f ca="1">DAY(TODAY())</f>
        <v>21</v>
      </c>
      <c r="U54" s="102">
        <f ca="1">MONTH(TODAY())</f>
        <v>3</v>
      </c>
      <c r="V54" s="102">
        <f ca="1">YEAR(TODAY())</f>
        <v>2022</v>
      </c>
      <c r="W54" s="102">
        <f ca="1">ROUNDUP(MONTH(TODAY())/3,0)</f>
        <v>1</v>
      </c>
      <c r="X54" s="104">
        <f ca="1">DATE(V54,U54,1)</f>
        <v>44621</v>
      </c>
      <c r="Y54" s="104">
        <f ca="1">DATE(IF(U54=1,V54-1,V54),IF(U54=1,12,U54-1),1)</f>
        <v>44593</v>
      </c>
    </row>
    <row r="55" spans="19:25" x14ac:dyDescent="0.2">
      <c r="S55" s="102" t="s">
        <v>340</v>
      </c>
    </row>
    <row r="56" spans="19:25" x14ac:dyDescent="0.2">
      <c r="T56" s="102" t="s">
        <v>341</v>
      </c>
      <c r="U56" s="102" t="s">
        <v>342</v>
      </c>
    </row>
    <row r="57" spans="19:25" x14ac:dyDescent="0.2">
      <c r="T57" s="102">
        <f ca="1">IF(W54=1,4,W54-1)</f>
        <v>4</v>
      </c>
      <c r="U57" s="102">
        <f ca="1">IF(W54=1,V54-1,V54)</f>
        <v>2021</v>
      </c>
    </row>
    <row r="58" spans="19:25" x14ac:dyDescent="0.2">
      <c r="T58" s="103" t="s">
        <v>328</v>
      </c>
      <c r="U58" s="103" t="s">
        <v>329</v>
      </c>
      <c r="V58" s="103" t="s">
        <v>330</v>
      </c>
      <c r="W58" s="103" t="s">
        <v>331</v>
      </c>
      <c r="X58" s="103" t="s">
        <v>332</v>
      </c>
      <c r="Y58" s="103" t="s">
        <v>333</v>
      </c>
    </row>
    <row r="59" spans="19:25" x14ac:dyDescent="0.2">
      <c r="T59" s="106">
        <f t="array" aca="1" ref="T59" ca="1">SUM((Q6:Q33*S6:S33=T57*U57)*U6:U33)/3</f>
        <v>0</v>
      </c>
      <c r="U59" s="106">
        <f t="array" aca="1" ref="U59" ca="1">SUM((Q6:Q33*S6:S33=T57*U57)*V6:V33)/3</f>
        <v>0</v>
      </c>
      <c r="V59" s="106">
        <f t="array" aca="1" ref="V59" ca="1">SUM((Q6:Q33*S6:S33=T57*U57)*W6:W33)/3</f>
        <v>0</v>
      </c>
      <c r="W59" s="107">
        <f t="array" aca="1" ref="W59" ca="1">SUM((Q6:Q33*S6:S33=T57*U57)*X6:X33)/3</f>
        <v>0</v>
      </c>
      <c r="X59" s="108">
        <f t="array" aca="1" ref="X59" ca="1">SUM((Q6:Q33*S6:S33=T57*U57)*Y6:Y33)/3</f>
        <v>0</v>
      </c>
      <c r="Y59" s="109">
        <f t="array" aca="1" ref="Y59" ca="1">SUM((Q6:Q33*S6:S33=T57*U57)*Z6:Z33)/3</f>
        <v>0</v>
      </c>
    </row>
    <row r="60" spans="19:25" x14ac:dyDescent="0.2">
      <c r="T60" s="106"/>
      <c r="U60" s="106"/>
      <c r="V60" s="106"/>
      <c r="W60" s="107"/>
      <c r="X60" s="108"/>
      <c r="Y60" s="109"/>
    </row>
    <row r="61" spans="19:25" x14ac:dyDescent="0.2">
      <c r="S61" s="102" t="s">
        <v>343</v>
      </c>
      <c r="T61" s="106"/>
      <c r="U61" s="106"/>
      <c r="V61" s="106"/>
      <c r="W61" s="107"/>
      <c r="X61" s="108"/>
      <c r="Y61" s="109"/>
    </row>
    <row r="62" spans="19:25" x14ac:dyDescent="0.2">
      <c r="S62" s="102" t="s">
        <v>345</v>
      </c>
      <c r="T62" s="110">
        <f ca="1">IF(U54=1,12,U54-1)</f>
        <v>2</v>
      </c>
      <c r="U62" s="110">
        <f ca="1">IF(U54&lt;2,V54-1,V54)</f>
        <v>2022</v>
      </c>
      <c r="V62" s="104">
        <f ca="1">DATE(U62,T62,1)</f>
        <v>44593</v>
      </c>
      <c r="W62" s="107"/>
      <c r="X62" s="108"/>
      <c r="Y62" s="109"/>
    </row>
    <row r="63" spans="19:25" x14ac:dyDescent="0.2">
      <c r="S63" s="102" t="s">
        <v>346</v>
      </c>
      <c r="T63" s="110">
        <f ca="1">IF(T62=1,12,T62-1)</f>
        <v>1</v>
      </c>
      <c r="U63" s="110">
        <f ca="1">IF(U54&lt;3,V54-1,V54)</f>
        <v>2022</v>
      </c>
      <c r="V63" s="104">
        <f ca="1">DATE(U63,T63,1)</f>
        <v>44562</v>
      </c>
    </row>
    <row r="64" spans="19:25" x14ac:dyDescent="0.2">
      <c r="S64" s="102" t="s">
        <v>347</v>
      </c>
      <c r="T64" s="110">
        <f ca="1">IF(T63=1,12,T63-1)</f>
        <v>12</v>
      </c>
      <c r="U64" s="110">
        <f ca="1">IF(U54&lt;4,V54-1,V54)</f>
        <v>2021</v>
      </c>
      <c r="V64" s="104">
        <f ca="1">DATE(U64,T64,1)</f>
        <v>44531</v>
      </c>
    </row>
    <row r="65" spans="20:25" x14ac:dyDescent="0.2">
      <c r="T65" s="110"/>
      <c r="U65" s="110"/>
      <c r="V65" s="104"/>
    </row>
    <row r="66" spans="20:25" x14ac:dyDescent="0.2">
      <c r="T66" s="103" t="s">
        <v>328</v>
      </c>
      <c r="U66" s="103" t="s">
        <v>329</v>
      </c>
      <c r="V66" s="103" t="s">
        <v>330</v>
      </c>
      <c r="W66" s="103" t="s">
        <v>331</v>
      </c>
      <c r="X66" s="103" t="s">
        <v>332</v>
      </c>
      <c r="Y66" s="103" t="s">
        <v>333</v>
      </c>
    </row>
    <row r="67" spans="20:25" x14ac:dyDescent="0.2">
      <c r="T67" s="106">
        <f t="array" aca="1" ref="T67" ca="1">SUM((T6:T33&lt;=V62)*(T6:T33&gt;=V64)*U6:U33)/3</f>
        <v>0</v>
      </c>
      <c r="U67" s="106">
        <f t="array" aca="1" ref="U67" ca="1">SUM((T6:T33&lt;=V62)*(T6:T33&gt;=V64)*V6:V33)/3</f>
        <v>0</v>
      </c>
      <c r="V67" s="106">
        <f t="array" aca="1" ref="V67" ca="1">SUM((T6:T33&lt;=V62)*(T6:T33&gt;=V64)*W6:W33)/3</f>
        <v>0</v>
      </c>
      <c r="W67" s="107">
        <f t="array" aca="1" ref="W67" ca="1">SUM((T6:T33&lt;=V62)*(T6:T33&gt;=V64)*X6:X33)/3</f>
        <v>0</v>
      </c>
      <c r="X67" s="108">
        <f t="array" aca="1" ref="X67" ca="1">SUM((T6:T33&lt;=V62)*(T6:T33&gt;=V64)*Y6:Y33)/3</f>
        <v>0</v>
      </c>
      <c r="Y67" s="109">
        <f t="array" aca="1" ref="Y67" ca="1">SUM((T6:T33&lt;=V62)*(T6:T33&gt;=V64)*Z6:Z33)/3</f>
        <v>0</v>
      </c>
    </row>
    <row r="69" spans="20:25" x14ac:dyDescent="0.2">
      <c r="T69" s="102" t="s">
        <v>352</v>
      </c>
    </row>
    <row r="70" spans="20:25" x14ac:dyDescent="0.2">
      <c r="T70" s="102">
        <f t="array" aca="1" ref="T70" ca="1">SUM((T6:T33=Y54)*(U6:U33))</f>
        <v>0</v>
      </c>
    </row>
    <row r="72" spans="20:25" x14ac:dyDescent="0.2">
      <c r="T72" s="12"/>
      <c r="U72" s="12" t="s">
        <v>348</v>
      </c>
      <c r="V72" s="12" t="s">
        <v>350</v>
      </c>
      <c r="W72" s="12" t="s">
        <v>351</v>
      </c>
      <c r="X72" s="102" t="s">
        <v>443</v>
      </c>
    </row>
    <row r="73" spans="20:25" x14ac:dyDescent="0.2">
      <c r="T73" s="12" t="s">
        <v>202</v>
      </c>
      <c r="U73" s="254">
        <f t="shared" ref="U73:U79" ca="1" si="6">C5</f>
        <v>0</v>
      </c>
      <c r="V73" s="254">
        <f t="shared" ref="V73:V79" ca="1" si="7">F5</f>
        <v>0</v>
      </c>
      <c r="W73" s="254">
        <f t="shared" ref="W73:W79" si="8">J5</f>
        <v>40.424999999999997</v>
      </c>
      <c r="X73" s="390" t="e">
        <f ca="1">IF(V38=0,"?",AVERAGE(V38:V40)/1000)</f>
        <v>#N/A</v>
      </c>
    </row>
    <row r="74" spans="20:25" x14ac:dyDescent="0.2">
      <c r="T74" s="12" t="s">
        <v>203</v>
      </c>
      <c r="U74" s="254">
        <f t="shared" ca="1" si="6"/>
        <v>0</v>
      </c>
      <c r="V74" s="254">
        <f t="shared" ca="1" si="7"/>
        <v>0</v>
      </c>
      <c r="W74" s="254">
        <f>J6</f>
        <v>2.3029999999999999</v>
      </c>
      <c r="X74" s="390" t="e">
        <f ca="1">IF(W38=0,"?",AVERAGE(W38:W39)/1000)</f>
        <v>#N/A</v>
      </c>
    </row>
    <row r="75" spans="20:25" x14ac:dyDescent="0.2">
      <c r="T75" s="12" t="s">
        <v>204</v>
      </c>
      <c r="U75" s="254">
        <f t="shared" ca="1" si="6"/>
        <v>0</v>
      </c>
      <c r="V75" s="254">
        <f t="shared" ca="1" si="7"/>
        <v>0</v>
      </c>
      <c r="W75" s="254">
        <f>J7</f>
        <v>711.09743999999989</v>
      </c>
      <c r="X75" s="391" t="e">
        <f ca="1">IF(X38=0,"?",AVERAGE(X38:X40))</f>
        <v>#N/A</v>
      </c>
    </row>
    <row r="76" spans="20:25" x14ac:dyDescent="0.2">
      <c r="T76" s="12" t="s">
        <v>205</v>
      </c>
      <c r="U76" s="254">
        <f t="shared" ca="1" si="6"/>
        <v>0</v>
      </c>
      <c r="V76" s="254">
        <f t="shared" ca="1" si="7"/>
        <v>0</v>
      </c>
      <c r="W76" s="254">
        <f t="shared" si="8"/>
        <v>9.6649999999999991</v>
      </c>
      <c r="X76" s="390" t="e">
        <f ca="1">IF(U38=0,"?",AVERAGE(U38:U40)/1000)</f>
        <v>#N/A</v>
      </c>
    </row>
    <row r="77" spans="20:25" x14ac:dyDescent="0.2">
      <c r="T77" s="12" t="s">
        <v>278</v>
      </c>
      <c r="U77" s="254">
        <f t="shared" si="6"/>
        <v>0</v>
      </c>
      <c r="V77" s="254">
        <f t="shared" si="7"/>
        <v>0</v>
      </c>
      <c r="W77" s="254">
        <f t="shared" si="8"/>
        <v>7.9211999999999998</v>
      </c>
    </row>
    <row r="78" spans="20:25" x14ac:dyDescent="0.2">
      <c r="T78" s="12" t="s">
        <v>288</v>
      </c>
      <c r="U78" s="254">
        <f t="shared" si="6"/>
        <v>0</v>
      </c>
      <c r="V78" s="254">
        <f t="shared" si="7"/>
        <v>0</v>
      </c>
      <c r="W78" s="254">
        <f t="shared" si="8"/>
        <v>277.24199999999996</v>
      </c>
    </row>
    <row r="79" spans="20:25" x14ac:dyDescent="0.2">
      <c r="T79" s="12" t="s">
        <v>323</v>
      </c>
      <c r="U79" s="254">
        <f t="shared" ca="1" si="6"/>
        <v>0</v>
      </c>
      <c r="V79" s="254">
        <f t="shared" ca="1" si="7"/>
        <v>0</v>
      </c>
      <c r="W79" s="254">
        <f t="shared" si="8"/>
        <v>1.1315999999999999</v>
      </c>
      <c r="X79" s="102" t="e">
        <f ca="1">IF(Z38=0,"?",AVERAGE(Z38:Z40))</f>
        <v>#N/A</v>
      </c>
    </row>
  </sheetData>
  <mergeCells count="10">
    <mergeCell ref="P36:AA36"/>
    <mergeCell ref="P41:AA41"/>
    <mergeCell ref="M2:N3"/>
    <mergeCell ref="M4:N4"/>
    <mergeCell ref="Q2:Z4"/>
    <mergeCell ref="B4:C4"/>
    <mergeCell ref="E4:F4"/>
    <mergeCell ref="B2:F3"/>
    <mergeCell ref="I4:J4"/>
    <mergeCell ref="I2:J3"/>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tabColor indexed="53"/>
  </sheetPr>
  <dimension ref="A1:J92"/>
  <sheetViews>
    <sheetView workbookViewId="0">
      <selection activeCell="E8" sqref="E8"/>
    </sheetView>
  </sheetViews>
  <sheetFormatPr baseColWidth="10" defaultRowHeight="12.75" x14ac:dyDescent="0.2"/>
  <cols>
    <col min="1" max="1" width="23.140625" style="216" customWidth="1"/>
    <col min="2" max="2" width="13.140625" style="216" customWidth="1"/>
    <col min="3" max="3" width="10.5703125" style="216" customWidth="1"/>
    <col min="4" max="5" width="12.5703125" style="216" customWidth="1"/>
    <col min="6" max="6" width="13.7109375" style="216" customWidth="1"/>
    <col min="7" max="7" width="14.5703125" customWidth="1"/>
    <col min="8" max="8" width="12.28515625" customWidth="1"/>
    <col min="9" max="10" width="14.7109375" customWidth="1"/>
  </cols>
  <sheetData>
    <row r="1" spans="1:10" s="213" customFormat="1" ht="18" x14ac:dyDescent="0.25">
      <c r="A1" s="212" t="s">
        <v>23</v>
      </c>
      <c r="B1" s="212"/>
      <c r="C1" s="212"/>
      <c r="D1" s="212"/>
      <c r="E1" s="212"/>
      <c r="F1" s="212"/>
    </row>
    <row r="2" spans="1:10" x14ac:dyDescent="0.2">
      <c r="A2" s="214" t="s">
        <v>24</v>
      </c>
      <c r="B2" s="215"/>
      <c r="C2" s="215"/>
      <c r="D2" s="215"/>
      <c r="E2" s="215"/>
      <c r="F2" s="215"/>
    </row>
    <row r="4" spans="1:10" ht="15.75" x14ac:dyDescent="0.25">
      <c r="A4" s="217" t="s">
        <v>25</v>
      </c>
      <c r="B4" s="218"/>
    </row>
    <row r="5" spans="1:10" ht="15.75" x14ac:dyDescent="0.25">
      <c r="A5" s="217"/>
      <c r="B5" s="218"/>
      <c r="D5" s="219" t="s">
        <v>26</v>
      </c>
      <c r="E5" s="220" t="s">
        <v>27</v>
      </c>
      <c r="F5" s="220"/>
    </row>
    <row r="6" spans="1:10" ht="13.5" thickBot="1" x14ac:dyDescent="0.25">
      <c r="B6" s="221" t="str">
        <f>ACALC!C12</f>
        <v>SnPb 60/40</v>
      </c>
      <c r="D6" s="222" t="s">
        <v>28</v>
      </c>
      <c r="E6" s="222"/>
      <c r="F6" s="222"/>
      <c r="G6" s="223" t="s">
        <v>29</v>
      </c>
      <c r="H6" s="224" t="s">
        <v>30</v>
      </c>
    </row>
    <row r="7" spans="1:10" ht="13.5" thickBot="1" x14ac:dyDescent="0.25">
      <c r="A7" s="218" t="s">
        <v>31</v>
      </c>
      <c r="B7" s="225">
        <f>ACALC!C4</f>
        <v>1</v>
      </c>
      <c r="C7" s="222" t="s">
        <v>32</v>
      </c>
      <c r="D7" s="226"/>
      <c r="E7" s="226"/>
      <c r="F7" s="226"/>
      <c r="G7" s="227">
        <f>I9</f>
        <v>20</v>
      </c>
      <c r="H7" s="228">
        <f>G7*0.75</f>
        <v>15</v>
      </c>
      <c r="I7" s="229"/>
    </row>
    <row r="8" spans="1:10" ht="13.5" thickBot="1" x14ac:dyDescent="0.25">
      <c r="A8" s="218" t="s">
        <v>33</v>
      </c>
      <c r="B8" s="230">
        <f>ACALC!C5</f>
        <v>0.2</v>
      </c>
      <c r="C8" s="222" t="s">
        <v>32</v>
      </c>
      <c r="D8" s="226">
        <v>8.9499999999999993</v>
      </c>
      <c r="E8" s="226">
        <f>100*(B7*B8*C16*D8)/((B7*B8*C16*D8)+((B10/100*D10+B11/100*D11+B12/100*D12+B13/100*D13+B14/100*D14+B15/100*D15)*2*B9/1000*B7*C16))</f>
        <v>86.969196385190955</v>
      </c>
      <c r="F8" s="231"/>
      <c r="G8" s="232" t="s">
        <v>34</v>
      </c>
      <c r="H8" s="232" t="s">
        <v>35</v>
      </c>
      <c r="I8" s="229" t="s">
        <v>36</v>
      </c>
    </row>
    <row r="9" spans="1:10" ht="13.5" thickBot="1" x14ac:dyDescent="0.25">
      <c r="A9" s="218" t="s">
        <v>37</v>
      </c>
      <c r="B9" s="225">
        <f>H7</f>
        <v>15</v>
      </c>
      <c r="C9" s="222" t="s">
        <v>38</v>
      </c>
      <c r="D9" s="233" t="s">
        <v>39</v>
      </c>
      <c r="E9" s="226"/>
      <c r="F9" s="226"/>
      <c r="G9" s="227">
        <f>ACALC!C15</f>
        <v>15</v>
      </c>
      <c r="H9" s="227">
        <f>ACALC!C16</f>
        <v>25</v>
      </c>
      <c r="I9" s="234">
        <f>G9+J9</f>
        <v>20</v>
      </c>
      <c r="J9" s="235">
        <f>(H9-G9)/2</f>
        <v>5</v>
      </c>
    </row>
    <row r="10" spans="1:10" x14ac:dyDescent="0.2">
      <c r="A10" s="218" t="s">
        <v>40</v>
      </c>
      <c r="B10" s="225">
        <f>VLOOKUP(B6,Legierungen!B7:I24,2,FALSE)</f>
        <v>60</v>
      </c>
      <c r="C10" s="222" t="s">
        <v>41</v>
      </c>
      <c r="D10" s="226">
        <v>7.3</v>
      </c>
      <c r="E10" s="226">
        <f>B10*((B10/100*D10+B11/100*D11+B12/100*D12+B13/100*D13+B14/100*D14+B15/100*D15)*2*B9/1000*B7*C16)/((B7*B8*C16*D8)+((B10/100*D10+B11/100*D11+B12/100*D12+B13/100*D13+B14/100*D14+B15/100*D15)*2*B9/1000*B7*C16))</f>
        <v>7.8184821688854358</v>
      </c>
      <c r="F10" s="226"/>
      <c r="G10" s="229"/>
      <c r="H10" s="229"/>
      <c r="I10" s="229"/>
    </row>
    <row r="11" spans="1:10" x14ac:dyDescent="0.2">
      <c r="A11" s="218" t="s">
        <v>42</v>
      </c>
      <c r="B11" s="225">
        <f>VLOOKUP(B6,Legierungen!B7:I24,3,FALSE)</f>
        <v>40</v>
      </c>
      <c r="C11" s="222" t="s">
        <v>41</v>
      </c>
      <c r="D11" s="226">
        <v>11.4</v>
      </c>
      <c r="E11" s="226">
        <f>B11*((B10/100*D10+B11/100*D11+B12/100*D12+B13/100*D13+B14/100*D14+B15/100*D15)*2*B9/1000*B7*C16)/((B7*B8*C16*D8)+((B10/100*D10+B11/100*D11+B12/100*D12+B13/100*D13+B14/100*D14+B15/100*D15)*2*B9/1000*B7*C16))</f>
        <v>5.2123214459236236</v>
      </c>
      <c r="F11" s="226"/>
      <c r="G11" s="229"/>
      <c r="H11" s="229"/>
      <c r="I11" s="229"/>
    </row>
    <row r="12" spans="1:10" x14ac:dyDescent="0.2">
      <c r="A12" s="218" t="s">
        <v>43</v>
      </c>
      <c r="B12" s="225">
        <f>VLOOKUP(B6,Legierungen!B7:I24,4,FALSE)</f>
        <v>0</v>
      </c>
      <c r="C12" s="222" t="s">
        <v>41</v>
      </c>
      <c r="D12" s="226">
        <v>10.5</v>
      </c>
      <c r="E12" s="226">
        <f>B12*((B10/100*D10+B11/100*D11+B12/100*D12+B13/100*D13+B14/100*D14+B15/100*D15)*2*B9/1000*B7*C16)/((B7*B8*C16*D8)+((B10/100*D10+B11/100*D11+B12/100*D12+B13/100*D13+B14/100*D14+B15/100*D15)*2*B9/1000*B7*C16))</f>
        <v>0</v>
      </c>
      <c r="F12" s="226"/>
      <c r="G12" s="229"/>
      <c r="H12" s="229"/>
      <c r="I12" s="229"/>
    </row>
    <row r="13" spans="1:10" x14ac:dyDescent="0.2">
      <c r="A13" s="218" t="s">
        <v>276</v>
      </c>
      <c r="B13" s="225">
        <f>VLOOKUP(B6,Legierungen!B7:I24,5,FALSE)</f>
        <v>0</v>
      </c>
      <c r="C13" s="236" t="s">
        <v>41</v>
      </c>
      <c r="D13" s="226">
        <v>8.9499999999999993</v>
      </c>
      <c r="E13" s="226">
        <f>B13*((B10/100*D10+B11/100*D11+B12/100*D12+B13/100*D13+B14/100*D14+B15/100*D15)*2*B9/1000*B7*C16)/((B7*B8*C16*D8)+((B10/100*D10+B11/100*D11+B12/100*D12+B13/100*D13+B14/100*D14+B15/100*D15)*2*B9/1000*B7*C16))</f>
        <v>0</v>
      </c>
      <c r="F13" s="226"/>
      <c r="G13" s="229"/>
      <c r="H13" s="229"/>
      <c r="I13" s="229"/>
    </row>
    <row r="14" spans="1:10" x14ac:dyDescent="0.2">
      <c r="A14" s="218" t="s">
        <v>290</v>
      </c>
      <c r="B14" s="225">
        <f>VLOOKUP(B6,Legierungen!B7:I24,6,FALSE)</f>
        <v>0</v>
      </c>
      <c r="C14" s="236" t="s">
        <v>41</v>
      </c>
      <c r="D14" s="226">
        <f>Legierungen!G32</f>
        <v>9.8000000000000007</v>
      </c>
      <c r="E14" s="226">
        <f>B14*((B10/100*D10+B11/100*D11+B12/100*D12+B13/100*D13+B14/100*D14+B15/100*D15)*2*B9/1000*B7*C16)/((B7*B8*C16*D8)+((B10/100*D10+B11/100*D11+B12/100*D12+B13/100*D13+B14/100*D14+B15/100*D15)*2*B9/1000*B7*C16))</f>
        <v>0</v>
      </c>
      <c r="F14" s="226"/>
      <c r="G14" s="229"/>
      <c r="H14" s="229"/>
      <c r="I14" s="229"/>
    </row>
    <row r="15" spans="1:10" x14ac:dyDescent="0.2">
      <c r="A15" s="218" t="s">
        <v>291</v>
      </c>
      <c r="B15" s="225">
        <f>VLOOKUP(B6,Legierungen!B7:I24,7,FALSE)</f>
        <v>0</v>
      </c>
      <c r="C15" s="236" t="s">
        <v>41</v>
      </c>
      <c r="D15" s="226">
        <f>Legierungen!H32</f>
        <v>7.31</v>
      </c>
      <c r="E15" s="226">
        <f>B15*((B10/100*D10+B11/100*D11+B12/100*D12+B13/100*D13+B14/100*D14+B15/100*D15)*2*B9/1000*B7*C16)/((B7*B8*C16*D8)+((B10/100*D10+B11/100*D11+B12/100*D12+B13/100*D13+B14/100*D14+B15/100*D15)*2*B9/1000*B7*C16))</f>
        <v>0</v>
      </c>
      <c r="F15" s="226"/>
      <c r="G15" s="229"/>
      <c r="H15" s="229"/>
      <c r="I15" s="229"/>
    </row>
    <row r="16" spans="1:10" x14ac:dyDescent="0.2">
      <c r="A16" s="218" t="s">
        <v>44</v>
      </c>
      <c r="B16"/>
      <c r="C16">
        <v>0.999</v>
      </c>
      <c r="D16" s="222"/>
      <c r="E16" s="237">
        <f>SUM(E10:E15,E8)</f>
        <v>100.00000000000001</v>
      </c>
    </row>
    <row r="17" spans="1:9" x14ac:dyDescent="0.2">
      <c r="B17"/>
      <c r="C17"/>
      <c r="D17" s="222"/>
    </row>
    <row r="18" spans="1:9" ht="15.75" x14ac:dyDescent="0.25">
      <c r="A18" s="217" t="s">
        <v>45</v>
      </c>
      <c r="B18"/>
      <c r="C18"/>
      <c r="D18"/>
      <c r="E18"/>
    </row>
    <row r="19" spans="1:9" ht="25.5" x14ac:dyDescent="0.2">
      <c r="B19" s="238" t="s">
        <v>46</v>
      </c>
      <c r="C19" s="238" t="s">
        <v>47</v>
      </c>
      <c r="D19" s="238" t="s">
        <v>48</v>
      </c>
      <c r="E19" s="238" t="s">
        <v>49</v>
      </c>
      <c r="F19" s="238" t="s">
        <v>292</v>
      </c>
      <c r="G19" s="238" t="s">
        <v>293</v>
      </c>
    </row>
    <row r="20" spans="1:9" x14ac:dyDescent="0.2">
      <c r="B20" s="239" t="s">
        <v>50</v>
      </c>
      <c r="C20" s="239" t="s">
        <v>50</v>
      </c>
      <c r="D20" s="239" t="s">
        <v>50</v>
      </c>
      <c r="E20" s="239" t="s">
        <v>50</v>
      </c>
      <c r="F20" s="239" t="s">
        <v>50</v>
      </c>
      <c r="G20" s="239" t="s">
        <v>50</v>
      </c>
    </row>
    <row r="21" spans="1:9" x14ac:dyDescent="0.2">
      <c r="A21" s="222"/>
      <c r="B21" s="222"/>
      <c r="G21" s="216"/>
    </row>
    <row r="22" spans="1:9" x14ac:dyDescent="0.2">
      <c r="A22" s="219" t="s">
        <v>51</v>
      </c>
      <c r="B22" s="225">
        <f>ACALC!K17</f>
        <v>9.6649999999999991</v>
      </c>
      <c r="C22" s="225">
        <f>ACALC!K14</f>
        <v>40.424999999999997</v>
      </c>
      <c r="D22" s="225">
        <f>ACALC!K15</f>
        <v>2.3029999999999999</v>
      </c>
      <c r="E22" s="225">
        <f>ACALC!K16</f>
        <v>711.09743999999989</v>
      </c>
      <c r="F22" s="225">
        <f>ACALC!K19</f>
        <v>277.24199999999996</v>
      </c>
      <c r="G22" s="225">
        <f>ACALC!K18</f>
        <v>7.9211999999999998</v>
      </c>
    </row>
    <row r="23" spans="1:9" ht="15" x14ac:dyDescent="0.25">
      <c r="B23"/>
      <c r="C23"/>
      <c r="D23" s="222"/>
      <c r="I23" s="240"/>
    </row>
    <row r="24" spans="1:9" x14ac:dyDescent="0.2">
      <c r="B24"/>
      <c r="C24"/>
      <c r="D24" s="222"/>
    </row>
    <row r="25" spans="1:9" ht="15.75" x14ac:dyDescent="0.25">
      <c r="A25" s="217" t="s">
        <v>52</v>
      </c>
      <c r="B25"/>
      <c r="C25"/>
      <c r="D25" s="241">
        <f>ACALC!K20</f>
        <v>1.1315999999999999</v>
      </c>
      <c r="E25" s="216" t="s">
        <v>53</v>
      </c>
    </row>
    <row r="26" spans="1:9" x14ac:dyDescent="0.2">
      <c r="B26"/>
      <c r="C26"/>
      <c r="D26" s="222"/>
    </row>
    <row r="27" spans="1:9" x14ac:dyDescent="0.2">
      <c r="A27" s="218" t="s">
        <v>54</v>
      </c>
      <c r="B27"/>
      <c r="C27"/>
      <c r="D27" s="222"/>
      <c r="F27" s="242" t="s">
        <v>55</v>
      </c>
      <c r="G27" s="243" t="s">
        <v>56</v>
      </c>
      <c r="H27" s="243"/>
    </row>
    <row r="28" spans="1:9" x14ac:dyDescent="0.2">
      <c r="A28" s="218"/>
      <c r="B28"/>
      <c r="C28"/>
      <c r="D28" s="222"/>
      <c r="F28" s="244">
        <f>(E11*D22)*0.01/0.75</f>
        <v>0.16005301719949472</v>
      </c>
      <c r="G28" s="244">
        <f>F28/D25</f>
        <v>0.14143956981220815</v>
      </c>
      <c r="H28" s="243" t="s">
        <v>57</v>
      </c>
    </row>
    <row r="29" spans="1:9" x14ac:dyDescent="0.2">
      <c r="B29" s="245" t="s">
        <v>58</v>
      </c>
      <c r="C29"/>
      <c r="D29" s="245" t="s">
        <v>59</v>
      </c>
      <c r="F29" s="244">
        <f>(E10*C22)*0.01/0.75</f>
        <v>4.21416188902925</v>
      </c>
      <c r="G29" s="244">
        <f>F29/D25</f>
        <v>3.7240737796299488</v>
      </c>
      <c r="H29" s="243" t="s">
        <v>60</v>
      </c>
    </row>
    <row r="30" spans="1:9" ht="15.75" x14ac:dyDescent="0.25">
      <c r="A30" s="217" t="s">
        <v>61</v>
      </c>
      <c r="B30" s="246">
        <f>+E8*B22*0.01/0.9</f>
        <v>9.3395253673652281</v>
      </c>
      <c r="C30"/>
      <c r="D30" s="246">
        <f>B30/$D$25</f>
        <v>8.2533804943135642</v>
      </c>
      <c r="F30" s="244">
        <f>(E12*E22)*0.01/0.75</f>
        <v>0</v>
      </c>
      <c r="G30" s="244">
        <f>F30/D25</f>
        <v>0</v>
      </c>
      <c r="H30" s="243" t="s">
        <v>62</v>
      </c>
    </row>
    <row r="31" spans="1:9" ht="15.75" x14ac:dyDescent="0.25">
      <c r="A31" s="217" t="s">
        <v>63</v>
      </c>
      <c r="B31" s="247">
        <f>+(E10*C22+E11*D22+E12*E22+E13*B22+E14*G22+E15*F22)*0.01/0.75</f>
        <v>4.3742149062287448</v>
      </c>
      <c r="C31"/>
      <c r="D31" s="246">
        <f>B31/$D$25</f>
        <v>3.865513349442157</v>
      </c>
      <c r="F31" s="248">
        <f>SUM(F28:F30)</f>
        <v>4.3742149062287448</v>
      </c>
      <c r="G31" s="248">
        <f>SUM(G28:G30)</f>
        <v>3.865513349442157</v>
      </c>
      <c r="H31" s="243"/>
    </row>
    <row r="32" spans="1:9" ht="15.75" x14ac:dyDescent="0.25">
      <c r="A32" s="217" t="s">
        <v>64</v>
      </c>
      <c r="B32" s="247">
        <f>+B31+B30</f>
        <v>13.713740273593974</v>
      </c>
      <c r="C32"/>
      <c r="D32" s="246">
        <f>B32/$D$25</f>
        <v>12.118893843755721</v>
      </c>
    </row>
    <row r="33" spans="1:6" x14ac:dyDescent="0.2">
      <c r="A33" s="216" t="s">
        <v>65</v>
      </c>
      <c r="B33"/>
      <c r="C33"/>
      <c r="D33" s="222"/>
    </row>
    <row r="34" spans="1:6" x14ac:dyDescent="0.2">
      <c r="B34"/>
      <c r="C34"/>
      <c r="D34" s="222"/>
    </row>
    <row r="35" spans="1:6" ht="15.75" x14ac:dyDescent="0.25">
      <c r="A35" s="217" t="s">
        <v>105</v>
      </c>
      <c r="B35" s="249">
        <f>E8*B22*0.01/0.9068</f>
        <v>9.2694892265424613</v>
      </c>
      <c r="C35" s="250"/>
      <c r="D35" s="250">
        <f>B35/D25</f>
        <v>8.1914892422609249</v>
      </c>
      <c r="E35"/>
      <c r="F35"/>
    </row>
    <row r="36" spans="1:6" ht="15.75" x14ac:dyDescent="0.25">
      <c r="A36" s="217" t="s">
        <v>106</v>
      </c>
      <c r="B36" s="249">
        <f>(E10*C22+E11*D22+E12*E22)*0.01/0.864</f>
        <v>3.7970615505457852</v>
      </c>
      <c r="C36" s="250"/>
      <c r="D36" s="250">
        <f>B36/D25</f>
        <v>3.3554803380574278</v>
      </c>
      <c r="E36"/>
      <c r="F36"/>
    </row>
    <row r="37" spans="1:6" x14ac:dyDescent="0.2">
      <c r="A37"/>
      <c r="B37" s="251">
        <f>SUM(B35:B36)</f>
        <v>13.066550777088246</v>
      </c>
      <c r="C37" s="252"/>
      <c r="D37" s="252">
        <f>SUM(D35:D36)</f>
        <v>11.546969580318352</v>
      </c>
      <c r="E37"/>
      <c r="F37"/>
    </row>
    <row r="38" spans="1:6" x14ac:dyDescent="0.2">
      <c r="A38"/>
      <c r="B38"/>
      <c r="C38"/>
      <c r="D38"/>
      <c r="E38"/>
      <c r="F38"/>
    </row>
    <row r="39" spans="1:6" x14ac:dyDescent="0.2">
      <c r="A39"/>
      <c r="B39"/>
      <c r="C39"/>
      <c r="D39"/>
      <c r="E39"/>
      <c r="F39"/>
    </row>
    <row r="40" spans="1:6" x14ac:dyDescent="0.2">
      <c r="A40" s="253"/>
      <c r="B40"/>
      <c r="C40"/>
      <c r="D40"/>
      <c r="E40"/>
      <c r="F40"/>
    </row>
    <row r="41" spans="1:6" x14ac:dyDescent="0.2">
      <c r="A41"/>
      <c r="B41"/>
      <c r="C41"/>
      <c r="D41"/>
      <c r="E41"/>
      <c r="F41"/>
    </row>
    <row r="42" spans="1:6" x14ac:dyDescent="0.2">
      <c r="A42"/>
      <c r="B42"/>
      <c r="C42"/>
      <c r="D42"/>
      <c r="E42"/>
      <c r="F42"/>
    </row>
    <row r="43" spans="1:6" x14ac:dyDescent="0.2">
      <c r="A43"/>
      <c r="B43"/>
      <c r="C43"/>
      <c r="D43"/>
      <c r="E43"/>
      <c r="F43"/>
    </row>
    <row r="44" spans="1:6" ht="30.75" customHeight="1" x14ac:dyDescent="0.2">
      <c r="A44"/>
      <c r="B44"/>
      <c r="C44"/>
      <c r="D44"/>
      <c r="E44"/>
      <c r="F44"/>
    </row>
    <row r="45" spans="1:6" x14ac:dyDescent="0.2">
      <c r="A45"/>
      <c r="B45"/>
      <c r="C45"/>
      <c r="D45"/>
      <c r="E45"/>
      <c r="F45"/>
    </row>
    <row r="46" spans="1:6" x14ac:dyDescent="0.2">
      <c r="A46"/>
      <c r="B46"/>
      <c r="C46"/>
      <c r="D46"/>
      <c r="E46"/>
      <c r="F46"/>
    </row>
    <row r="47" spans="1:6" x14ac:dyDescent="0.2">
      <c r="A47"/>
      <c r="B47"/>
      <c r="C47"/>
      <c r="D47"/>
      <c r="E47"/>
      <c r="F47"/>
    </row>
    <row r="48" spans="1:6" x14ac:dyDescent="0.2">
      <c r="A48"/>
      <c r="B48"/>
      <c r="C48"/>
      <c r="D48"/>
      <c r="E48"/>
      <c r="F48"/>
    </row>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ht="19.5" customHeigh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sheetData>
  <phoneticPr fontId="2" type="noConversion"/>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5</vt:i4>
      </vt:variant>
    </vt:vector>
  </HeadingPairs>
  <TitlesOfParts>
    <vt:vector size="19" baseType="lpstr">
      <vt:lpstr>Arbeitsplan_rd</vt:lpstr>
      <vt:lpstr>Metall_rd</vt:lpstr>
      <vt:lpstr>ACALC_rd</vt:lpstr>
      <vt:lpstr>ACALC</vt:lpstr>
      <vt:lpstr>SQLResults</vt:lpstr>
      <vt:lpstr>Mapping</vt:lpstr>
      <vt:lpstr>SQLMapping</vt:lpstr>
      <vt:lpstr>Metallhistorie</vt:lpstr>
      <vt:lpstr>Metall</vt:lpstr>
      <vt:lpstr>Arbeitsplan</vt:lpstr>
      <vt:lpstr>Daten_v_Kosten_Preise</vt:lpstr>
      <vt:lpstr>Geometrie</vt:lpstr>
      <vt:lpstr>Verpackung</vt:lpstr>
      <vt:lpstr>Legierungen</vt:lpstr>
      <vt:lpstr>Arbeitsplanschritte</vt:lpstr>
      <vt:lpstr>ACALC!Druckbereich</vt:lpstr>
      <vt:lpstr>Test</vt:lpstr>
      <vt:lpstr>Test2</vt:lpstr>
      <vt:lpstr>Test3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Berghofer</dc:creator>
  <cp:lastModifiedBy>Hannes Gänser</cp:lastModifiedBy>
  <cp:lastPrinted>2022-01-10T12:14:54Z</cp:lastPrinted>
  <dcterms:created xsi:type="dcterms:W3CDTF">2015-03-27T10:12:20Z</dcterms:created>
  <dcterms:modified xsi:type="dcterms:W3CDTF">2022-03-21T15:50:00Z</dcterms:modified>
</cp:coreProperties>
</file>